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B31954D4-98B8-4789-A71A-E5B859B48ADD}"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39" i="2"/>
  <c r="AM4" i="2" s="1"/>
  <c r="AV4"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T45" i="2" s="1"/>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AY7" i="2" s="1"/>
  <c r="BH4" i="2"/>
  <c r="BH3" i="2"/>
  <c r="AY3" i="2" s="1"/>
  <c r="J2" i="2"/>
  <c r="AT2" i="2" s="1"/>
  <c r="CH41" i="2" l="1"/>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AU14" i="2" l="1"/>
  <c r="AW14" i="2" s="1"/>
  <c r="B91" i="8"/>
  <c r="BB60" i="2"/>
  <c r="CV40" i="2"/>
  <c r="AY60" i="2"/>
  <c r="AZ60" i="2"/>
  <c r="CI40" i="2"/>
  <c r="BJ40" i="2" s="1"/>
  <c r="AH37" i="2" s="1"/>
  <c r="AR2" i="2" s="1"/>
  <c r="CW40" i="2"/>
  <c r="AO14" i="2"/>
  <c r="Q95" i="5" s="1"/>
  <c r="AO10" i="2"/>
  <c r="Q71" i="6" s="1"/>
  <c r="B47" i="6"/>
  <c r="B47" i="5"/>
  <c r="B71" i="5"/>
  <c r="B71" i="6"/>
  <c r="AU71" i="6"/>
  <c r="AU71" i="5"/>
  <c r="AU47" i="6"/>
  <c r="AU47" i="5"/>
  <c r="BG6" i="2"/>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P6" i="2" l="1"/>
  <c r="S45" i="6" s="1"/>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69" i="5"/>
  <c r="S45" i="5" l="1"/>
  <c r="Z96" i="8"/>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<sst xmlns="http://schemas.openxmlformats.org/spreadsheetml/2006/main" count="4985" uniqueCount="1852">
  <si>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</si>
  <si>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</si>
  <si>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</si>
  <si>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</si>
  <si>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</si>
  <si>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</si>
  <si>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</si>
  <si>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</si>
  <si>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</si>
  <si>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</si>
  <si>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</si>
  <si>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</si>
  <si>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</si>
  <si>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</si>
  <si>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</si>
  <si>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</si>
  <si>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</si>
  <si>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</si>
  <si>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</si>
  <si>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</si>
  <si>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</si>
  <si>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</si>
  <si>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</si>
  <si>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</si>
  <si>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</si>
  <si>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</si>
  <si>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</si>
  <si>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</si>
  <si>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</si>
  <si>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</si>
  <si>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</si>
  <si>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</si>
  <si>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</si>
  <si>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</si>
  <si>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</si>
  <si>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</si>
  <si>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</si>
  <si>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</si>
  <si>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</si>
  <si>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</si>
  <si>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</si>
  <si>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</si>
  <si>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</si>
  <si>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</si>
  <si>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</si>
  <si>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</si>
  <si>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</si>
  <si>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</si>
  <si>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</si>
  <si>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</si>
  <si>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</si>
  <si>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</si>
  <si>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</si>
  <si>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</si>
  <si>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</si>
  <si>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</si>
  <si>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</si>
  <si>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</si>
  <si>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</si>
  <si>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</si>
  <si>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</si>
  <si>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</si>
  <si>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</si>
  <si>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</si>
  <si>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</si>
  <si>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</si>
  <si>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</si>
  <si>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</si>
  <si>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</si>
  <si>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</si>
  <si>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</si>
  <si>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</si>
  <si>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</si>
  <si>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</si>
  <si>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</si>
  <si>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</si>
  <si>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</si>
  <si>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</si>
  <si>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</si>
  <si>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</si>
  <si>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</si>
  <si>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</si>
  <si>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</si>
  <si>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</si>
  <si>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</si>
  <si>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</si>
  <si>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</si>
  <si>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</si>
  <si>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</si>
  <si>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</si>
  <si>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</si>
  <si>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</si>
  <si>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</si>
  <si>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</si>
  <si>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</si>
  <si>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</si>
  <si>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</si>
  <si>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</si>
  <si>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</si>
  <si>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</si>
  <si>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</si>
  <si>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</si>
  <si>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</si>
  <si>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</si>
  <si>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</si>
  <si>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</si>
  <si>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</si>
  <si>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</si>
  <si>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</si>
  <si>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</si>
  <si>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</si>
  <si>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</si>
  <si>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</si>
  <si>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</si>
  <si>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</si>
  <si>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</si>
  <si>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</si>
  <si>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</si>
  <si>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</si>
  <si>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</si>
  <si>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</si>
  <si>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</si>
  <si>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</si>
  <si>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</si>
  <si>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</si>
  <si>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</si>
  <si>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</si>
  <si>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</si>
  <si>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</si>
  <si>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</si>
  <si>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</si>
  <si>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</si>
  <si>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</si>
  <si>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</si>
  <si>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</si>
  <si>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</si>
  <si>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</si>
  <si>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</si>
  <si>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</si>
  <si>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</si>
  <si>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</si>
  <si>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</si>
  <si>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</si>
  <si>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</si>
  <si>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</si>
  <si>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</si>
  <si>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</si>
  <si>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</si>
  <si>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</si>
  <si>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</si>
  <si>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</si>
  <si>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</si>
  <si>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</si>
  <si>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</si>
  <si>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</si>
  <si>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</si>
  <si>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</si>
  <si>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</si>
  <si>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</si>
  <si>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</si>
  <si>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</si>
  <si>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</si>
  <si>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</si>
  <si>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</si>
  <si>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</si>
  <si>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</si>
  <si>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</si>
  <si>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</si>
  <si>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</si>
  <si>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</si>
  <si>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</si>
  <si>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</si>
  <si>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</si>
  <si>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</si>
  <si>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</si>
  <si>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</si>
  <si>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</si>
  <si>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</si>
  <si>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</si>
  <si>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</si>
  <si>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</si>
  <si>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</si>
  <si>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</si>
  <si>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</si>
  <si>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</si>
  <si>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</si>
  <si>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</si>
  <si>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</si>
  <si>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</si>
  <si>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</si>
  <si>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</si>
  <si>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</si>
  <si>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</si>
  <si>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</si>
  <si>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</si>
  <si>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</si>
  <si>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</si>
  <si>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</si>
  <si>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</si>
  <si>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</si>
  <si>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</si>
  <si>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</si>
  <si>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</si>
  <si>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</si>
  <si>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</si>
  <si>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</si>
  <si>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</si>
  <si>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</si>
  <si>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</si>
  <si>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</si>
  <si>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</si>
  <si>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</si>
  <si>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</si>
  <si>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</si>
  <si>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</si>
  <si>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</si>
  <si>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</si>
  <si>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</si>
  <si>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</si>
  <si>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</si>
  <si>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</si>
  <si>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</si>
  <si>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</si>
  <si>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</si>
  <si>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</si>
  <si>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</si>
  <si>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</si>
  <si>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</si>
  <si>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</si>
  <si>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</si>
  <si>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</si>
  <si>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</si>
  <si>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</si>
  <si>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</si>
  <si>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</si>
  <si>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</si>
  <si>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</si>
  <si>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</si>
  <si>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</si>
  <si>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</si>
  <si>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</si>
  <si>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</si>
  <si>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</si>
  <si>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</si>
  <si>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</si>
  <si>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</si>
  <si>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</si>
  <si>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</si>
  <si>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</si>
  <si>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</si>
  <si>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</si>
  <si>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</si>
  <si>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</si>
  <si>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</si>
  <si>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</si>
  <si>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</si>
  <si>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</si>
  <si>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</si>
  <si>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</si>
  <si>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</si>
  <si>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</si>
  <si>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</si>
  <si>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</si>
  <si>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</si>
  <si>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</si>
  <si>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</si>
  <si>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</si>
  <si>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</si>
  <si>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</si>
  <si>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</si>
  <si>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</si>
  <si>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</si>
  <si>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</si>
  <si>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</si>
  <si>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</si>
  <si>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</si>
  <si>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</si>
  <si>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</si>
  <si>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</si>
  <si>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</si>
  <si>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</si>
  <si>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</si>
  <si>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</si>
  <si>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</si>
  <si>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</si>
  <si>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</si>
  <si>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</si>
  <si>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</si>
  <si>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</si>
  <si>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</si>
  <si>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</si>
  <si>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</si>
  <si>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</si>
  <si>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</si>
  <si>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</si>
  <si>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</si>
  <si>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</si>
  <si>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</si>
  <si>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</si>
  <si>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</si>
  <si>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</si>
  <si>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</si>
  <si>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</si>
  <si>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</si>
  <si>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</si>
  <si>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</si>
  <si>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</si>
  <si>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</si>
  <si>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</si>
  <si>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</si>
  <si>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</si>
  <si>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</si>
  <si>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</si>
  <si>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</si>
  <si>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</si>
  <si>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</si>
  <si>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</si>
  <si>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</si>
  <si>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</si>
  <si>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</si>
  <si>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</si>
  <si>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</si>
  <si>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</si>
  <si>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</si>
  <si>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</si>
  <si>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</si>
  <si>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</si>
  <si>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</si>
  <si>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</si>
  <si>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</si>
  <si>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</si>
  <si>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</si>
  <si>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</si>
  <si>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</si>
  <si>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</si>
  <si>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</si>
  <si>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</si>
  <si>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</si>
  <si>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</si>
  <si>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</si>
  <si>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</si>
  <si>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</si>
  <si>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</si>
  <si>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</si>
  <si>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</si>
  <si>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</si>
  <si>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</si>
  <si>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</si>
  <si>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</si>
  <si>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</si>
  <si>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</si>
  <si>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</si>
  <si>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</si>
  <si>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</si>
  <si>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</si>
  <si>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</si>
  <si>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</si>
  <si>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</si>
  <si>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</si>
  <si>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</si>
  <si>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</si>
  <si>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</si>
  <si>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</si>
  <si>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</si>
  <si>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</si>
  <si>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</si>
  <si>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</si>
  <si>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</si>
  <si>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</si>
  <si>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</si>
  <si>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</si>
  <si>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</si>
  <si>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</si>
  <si>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</si>
  <si>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</si>
  <si>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</si>
  <si>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</si>
  <si>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</si>
  <si>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</si>
  <si>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</si>
  <si>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</si>
  <si>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</si>
  <si>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</si>
  <si>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</si>
  <si>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</si>
  <si>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</si>
  <si>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</si>
  <si>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</si>
  <si>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</si>
  <si>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</si>
  <si>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</si>
  <si>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</si>
  <si>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</si>
  <si>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</si>
  <si>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</si>
  <si>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</si>
  <si>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</si>
  <si>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</si>
  <si>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</si>
  <si>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</si>
  <si>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</si>
  <si>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</si>
  <si>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</si>
  <si>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</si>
  <si>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</si>
  <si>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</si>
  <si>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</si>
  <si>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</si>
  <si>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</si>
  <si>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</si>
  <si>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</si>
  <si>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</si>
  <si>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</si>
  <si>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</si>
  <si>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</si>
  <si>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</si>
  <si>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</si>
  <si>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</si>
  <si>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</si>
  <si>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</si>
  <si>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</si>
  <si>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</si>
  <si>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</si>
  <si>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</si>
  <si>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</si>
  <si>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</si>
  <si>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</si>
  <si>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</si>
  <si>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</si>
  <si>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</si>
  <si>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</si>
  <si>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</si>
  <si>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</si>
  <si>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</si>
  <si>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</si>
  <si>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</si>
  <si>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</si>
  <si>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</si>
  <si>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</si>
  <si>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</si>
  <si>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</si>
  <si>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</si>
  <si>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</si>
  <si>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</si>
  <si>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</si>
  <si>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</si>
  <si>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</si>
  <si>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</si>
  <si>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</si>
  <si>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</si>
  <si>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</si>
  <si>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</si>
  <si>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</si>
  <si>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</si>
  <si>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</si>
  <si>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</si>
  <si>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</si>
  <si>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</si>
  <si>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</si>
  <si>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</si>
  <si>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</si>
  <si>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</si>
  <si>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</si>
  <si>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</si>
  <si>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</si>
  <si>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</si>
  <si>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</si>
  <si>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</si>
  <si>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</si>
  <si>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</si>
  <si>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</si>
  <si>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</si>
  <si>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</si>
  <si>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</si>
  <si>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</si>
  <si>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</si>
  <si>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</si>
  <si>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</si>
  <si>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</si>
  <si>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</si>
  <si>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</si>
  <si>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</si>
  <si>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</si>
  <si>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</si>
  <si>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</si>
  <si>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</si>
  <si>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</si>
  <si>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</si>
  <si>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</si>
  <si>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</si>
  <si>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</si>
  <si>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</si>
  <si>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</si>
  <si>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</si>
  <si>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</si>
  <si>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</si>
  <si>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</si>
  <si>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</si>
  <si>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</si>
  <si>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</si>
  <si>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</si>
  <si>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</si>
  <si>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</si>
  <si>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</si>
  <si>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</si>
  <si>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</si>
  <si>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</si>
  <si>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</si>
  <si>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</si>
  <si>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</si>
  <si>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</si>
  <si>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</si>
  <si>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</si>
  <si>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</si>
  <si>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</si>
  <si>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</si>
  <si>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</si>
  <si>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</si>
  <si>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</si>
  <si>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</si>
  <si>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</si>
  <si>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</si>
  <si>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</si>
  <si>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</si>
  <si>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</si>
  <si>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</si>
  <si>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</si>
  <si>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</si>
  <si>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</si>
  <si>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</si>
  <si>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</si>
  <si>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</si>
  <si>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</si>
  <si>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</si>
  <si>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</si>
  <si>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</si>
  <si>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</si>
  <si>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</si>
  <si>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</si>
  <si>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</si>
  <si>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</si>
  <si>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</si>
  <si>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</si>
  <si>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</si>
  <si>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</si>
  <si>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</si>
  <si>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</si>
  <si>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</si>
  <si>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</si>
  <si>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</si>
  <si>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</si>
  <si>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</si>
  <si>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</si>
  <si>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</si>
  <si>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</si>
  <si>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</si>
  <si>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</si>
  <si>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</si>
  <si>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</si>
  <si>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</si>
  <si>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</si>
  <si>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</si>
  <si>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</si>
  <si>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</si>
  <si>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</si>
  <si>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</si>
  <si>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</si>
  <si>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</si>
  <si>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</si>
  <si>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</si>
  <si>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</si>
  <si>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</si>
  <si>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</si>
  <si>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</si>
  <si>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</si>
  <si>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</si>
  <si>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</si>
  <si>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</si>
  <si>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</si>
  <si>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</si>
  <si>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</si>
  <si>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</si>
  <si>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</si>
  <si>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</si>
  <si>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</si>
  <si>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</si>
  <si>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</si>
  <si>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</si>
  <si>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</si>
  <si>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</si>
  <si>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</si>
  <si>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</si>
  <si>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</si>
  <si>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</si>
  <si>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</si>
  <si>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</si>
  <si>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</si>
  <si>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</si>
  <si>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</si>
  <si>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</si>
  <si>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</si>
  <si>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</si>
  <si>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</si>
  <si>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</si>
  <si>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</si>
  <si>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</si>
  <si>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</si>
  <si>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</si>
  <si>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</si>
  <si>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</si>
  <si>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</si>
  <si>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</si>
  <si>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</si>
  <si>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</si>
  <si>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</si>
  <si>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</si>
  <si>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</si>
  <si>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</si>
  <si>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</si>
  <si>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</si>
  <si>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</si>
  <si>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</si>
  <si>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</si>
  <si>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</si>
  <si>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</si>
  <si>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</si>
  <si>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</si>
  <si>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</si>
  <si>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</si>
  <si>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</si>
  <si>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</si>
  <si>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</si>
  <si>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</si>
  <si>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</si>
  <si>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</si>
  <si>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</si>
  <si>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</si>
  <si>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</si>
  <si>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</si>
  <si>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</si>
  <si>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</si>
  <si>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</si>
  <si>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</si>
  <si>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</si>
  <si>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</si>
  <si>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</si>
  <si>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</si>
  <si>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</si>
  <si>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</si>
  <si>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</si>
  <si>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</si>
  <si>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</si>
  <si>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</si>
  <si>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</si>
  <si>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</si>
  <si>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</si>
  <si>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</si>
  <si>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</si>
  <si>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</si>
  <si>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</si>
  <si>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</si>
  <si>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</si>
  <si>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</si>
  <si>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</si>
  <si>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</si>
  <si>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</si>
  <si>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</si>
  <si>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</si>
  <si>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</si>
  <si>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</si>
  <si>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</si>
  <si>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</si>
  <si>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</si>
  <si>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</si>
  <si>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</si>
  <si>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</si>
  <si>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</si>
  <si>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</si>
  <si>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</si>
  <si>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</si>
  <si>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</si>
  <si>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</si>
  <si>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</si>
  <si>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</si>
  <si>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</si>
  <si>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</si>
  <si>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</si>
  <si>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</si>
  <si>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</si>
  <si>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</si>
  <si>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</si>
  <si>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</si>
  <si>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</si>
  <si>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</si>
  <si>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</si>
  <si>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</si>
  <si>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</si>
  <si>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</si>
  <si>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</si>
  <si>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</si>
  <si>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</si>
  <si>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</si>
  <si>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</si>
  <si>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</si>
  <si>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</si>
  <si>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</si>
  <si>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</si>
  <si>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</si>
  <si>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</si>
  <si>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</si>
  <si>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</si>
  <si>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</si>
  <si>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</si>
  <si>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</si>
  <si>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</si>
  <si>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</si>
  <si>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</si>
  <si>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</si>
  <si>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</si>
  <si>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</si>
  <si>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</si>
  <si>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</si>
  <si>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</si>
  <si>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</si>
  <si>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</si>
  <si>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</si>
  <si>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</si>
  <si>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</si>
  <si>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</si>
  <si>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</si>
  <si>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</si>
  <si>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</si>
  <si>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</si>
  <si>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</si>
  <si>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</si>
  <si>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</si>
  <si>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</si>
  <si>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</si>
  <si>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</si>
  <si>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</si>
  <si>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</si>
  <si>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</si>
  <si>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</si>
  <si>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</si>
  <si>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</si>
  <si>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</si>
  <si>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</si>
  <si>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</si>
  <si>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</si>
  <si>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</si>
  <si>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</si>
  <si>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</si>
  <si>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</si>
  <si>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</si>
  <si>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</si>
  <si>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</si>
  <si>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</si>
  <si>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</si>
  <si>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</si>
  <si>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</si>
  <si>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</si>
  <si>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</si>
  <si>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</si>
  <si>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</si>
  <si>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</si>
  <si>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</si>
  <si>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</si>
  <si>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</si>
  <si>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</si>
  <si>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</si>
  <si>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</si>
  <si>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</si>
  <si>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</si>
  <si>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</si>
  <si>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</si>
  <si>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</si>
  <si>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</si>
  <si>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</si>
  <si>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</si>
  <si>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</si>
  <si>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</si>
  <si>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</si>
  <si>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</si>
  <si>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</si>
  <si>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</si>
  <si>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</si>
  <si>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</si>
  <si>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</si>
  <si>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</si>
  <si>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</si>
  <si>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</si>
  <si>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</si>
  <si>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</si>
  <si>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</si>
  <si>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</si>
  <si>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</si>
  <si>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</si>
  <si>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</si>
  <si>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</si>
  <si>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</si>
  <si>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</si>
  <si>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</si>
  <si>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</si>
  <si>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</si>
  <si>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</si>
  <si>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</si>
  <si>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</si>
  <si>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</si>
  <si>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</si>
  <si>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</si>
  <si>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</si>
  <si>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</si>
  <si>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</si>
  <si>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</si>
  <si>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</si>
  <si>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</si>
  <si>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</si>
  <si>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</si>
  <si>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</si>
  <si>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</si>
  <si>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</si>
  <si>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</si>
  <si>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</si>
  <si>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</si>
  <si>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</si>
  <si>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</si>
  <si>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</si>
  <si>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</si>
  <si>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</si>
  <si>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</si>
  <si>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</si>
  <si>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</si>
  <si>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</si>
  <si>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</si>
  <si>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</si>
  <si>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</si>
  <si>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</si>
  <si>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</si>
  <si>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</si>
  <si>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</si>
  <si>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</si>
  <si>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</si>
  <si>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</si>
  <si>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</si>
  <si>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</si>
  <si>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</si>
  <si>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</si>
  <si>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</si>
  <si>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</si>
  <si>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</si>
  <si>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</si>
  <si>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</si>
  <si>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</si>
  <si>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</si>
  <si>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</si>
  <si>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</si>
  <si>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</si>
  <si>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</si>
  <si>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</si>
  <si>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</si>
  <si>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</si>
  <si>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</si>
  <si>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</si>
  <si>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</si>
  <si>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</si>
  <si>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</si>
  <si>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</si>
  <si>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</si>
  <si>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</si>
  <si>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</si>
  <si>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</si>
  <si>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</si>
  <si>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</si>
  <si>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</si>
  <si>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</si>
  <si>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</si>
  <si>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</si>
  <si>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</si>
  <si>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</si>
  <si>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</si>
  <si>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</si>
  <si>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</si>
  <si>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</si>
  <si>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</si>
  <si>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</si>
  <si>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</si>
  <si>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</si>
  <si>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</si>
  <si>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</si>
  <si>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</si>
  <si>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</si>
  <si>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</si>
  <si>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</si>
  <si>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</si>
  <si>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</si>
  <si>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</si>
  <si>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</si>
  <si>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</si>
  <si>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</si>
  <si>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</si>
  <si>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</si>
  <si>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</si>
  <si>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</si>
  <si>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</si>
  <si>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</si>
  <si>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</si>
  <si>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</si>
  <si>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</si>
  <si>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</si>
  <si>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</si>
  <si>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</si>
  <si>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</si>
  <si>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</si>
  <si>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</si>
  <si>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</si>
  <si>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</si>
  <si>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</si>
  <si>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</si>
  <si>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</si>
  <si>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</si>
  <si>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</si>
  <si>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</si>
  <si>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</si>
  <si>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</si>
  <si>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</si>
  <si>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</si>
  <si>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</si>
  <si>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</si>
  <si>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</si>
  <si>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</si>
  <si>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</si>
  <si>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</si>
  <si>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</si>
  <si>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</si>
  <si>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</si>
  <si>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</si>
  <si>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</si>
  <si>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</si>
  <si>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</si>
  <si>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</si>
  <si>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</si>
  <si>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</si>
  <si>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</si>
  <si>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</si>
  <si>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</si>
  <si>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</si>
  <si>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</si>
  <si>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</si>
  <si>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</si>
  <si>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</si>
  <si>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</si>
  <si>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</si>
  <si>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</si>
  <si>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</si>
  <si>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</si>
  <si>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</si>
  <si>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</si>
  <si>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</si>
  <si>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</si>
  <si>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</si>
  <si>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</si>
  <si>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</si>
  <si>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</si>
  <si>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</si>
  <si>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</si>
  <si>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</si>
  <si>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</si>
  <si>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</si>
  <si>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</si>
  <si>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</si>
  <si>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</si>
  <si>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</si>
  <si>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</si>
  <si>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</si>
  <si>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</si>
  <si>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</si>
  <si>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</si>
  <si>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</si>
  <si>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</si>
  <si>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</si>
  <si>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</si>
  <si>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</si>
  <si>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</si>
  <si>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</si>
  <si>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</si>
  <si>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</si>
  <si>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</si>
  <si>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</si>
  <si>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</si>
  <si>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</si>
  <si>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</si>
  <si>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</si>
  <si>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</si>
  <si>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</si>
  <si>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</si>
  <si>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</si>
  <si>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</si>
  <si>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</si>
  <si>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</si>
  <si>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</si>
  <si>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</si>
  <si>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</si>
  <si>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</si>
  <si>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</si>
  <si>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</si>
  <si>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</si>
  <si>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</si>
  <si>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</si>
  <si>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</si>
  <si>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</si>
  <si>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</si>
  <si>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</si>
  <si>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</si>
  <si>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</si>
  <si>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</si>
  <si>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</si>
  <si>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</si>
  <si>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</si>
  <si>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</si>
  <si>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</si>
  <si>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</si>
  <si>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</si>
  <si>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</si>
  <si>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</si>
  <si>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</si>
  <si>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</si>
  <si>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</si>
  <si>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</si>
  <si>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</si>
  <si>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</si>
  <si>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</si>
  <si>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</si>
  <si>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</si>
  <si>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</si>
  <si>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</si>
  <si>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</si>
  <si>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</si>
  <si>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</si>
  <si>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</si>
  <si>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</si>
  <si>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</si>
  <si>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</si>
  <si>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</si>
  <si>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</si>
  <si>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</si>
  <si>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</si>
  <si>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</si>
  <si>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</si>
  <si>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</si>
  <si>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</si>
  <si>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</si>
  <si>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</si>
  <si>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</si>
  <si>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</si>
  <si>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</si>
  <si>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</si>
  <si>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</si>
  <si>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</si>
  <si>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</si>
  <si>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</si>
  <si>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</si>
  <si>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</si>
  <si>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</si>
  <si>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</si>
  <si>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</si>
  <si>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</si>
  <si>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</si>
  <si>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</si>
  <si>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</si>
  <si>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</si>
  <si>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</si>
  <si>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</si>
  <si>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</si>
  <si>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</si>
  <si>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</si>
  <si>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</si>
  <si>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</si>
  <si>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</si>
  <si>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</si>
  <si>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</si>
  <si>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</si>
  <si>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</si>
  <si>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</si>
  <si>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</si>
  <si>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</si>
  <si>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</si>
  <si>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</si>
  <si>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</si>
  <si>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</si>
  <si>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</si>
  <si>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</si>
  <si>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</si>
  <si>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</si>
  <si>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</si>
  <si>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</si>
  <si>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</si>
  <si>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</si>
  <si>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</si>
  <si>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</si>
  <si>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</si>
  <si>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</si>
  <si>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</si>
  <si>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</si>
  <si>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</si>
  <si>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</si>
  <si>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</si>
  <si>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</si>
  <si>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</si>
  <si>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</si>
  <si>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</si>
  <si>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</si>
  <si>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</si>
  <si>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</si>
  <si>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</si>
  <si>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</si>
  <si>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</si>
  <si>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</si>
  <si>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</si>
  <si>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</si>
  <si>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</si>
  <si>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</si>
  <si>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</si>
  <si>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</si>
  <si>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</si>
  <si>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</si>
  <si>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</si>
  <si>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</si>
  <si>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</si>
  <si>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</si>
  <si>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</si>
  <si>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</si>
  <si>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</si>
  <si>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</si>
  <si>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</si>
  <si>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</si>
  <si>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</si>
  <si>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</si>
  <si>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</si>
  <si>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</si>
  <si>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</si>
  <si>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</si>
  <si>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</si>
  <si>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</si>
  <si>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</si>
  <si>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</si>
  <si>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</si>
  <si>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</si>
  <si>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</si>
  <si>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</si>
  <si>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</si>
  <si>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</si>
  <si>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</si>
  <si>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</si>
  <si>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</si>
  <si>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</si>
  <si>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</si>
  <si>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</si>
  <si>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</si>
  <si>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</si>
  <si>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</si>
  <si>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</si>
  <si>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</si>
  <si>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</si>
  <si>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</si>
  <si>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</si>
  <si>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</si>
  <si>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</si>
  <si>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</si>
  <si>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</si>
  <si>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</si>
  <si>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</si>
  <si>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</si>
  <si>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</si>
  <si>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</si>
  <si>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</si>
  <si>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</si>
  <si>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</si>
  <si>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</si>
  <si>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</si>
  <si>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</si>
  <si>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</si>
  <si>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</si>
  <si>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</si>
  <si>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</si>
  <si>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</si>
  <si>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</si>
  <si>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</si>
  <si>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</si>
  <si>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</si>
  <si>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</si>
  <si>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</si>
  <si>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</si>
  <si>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</si>
  <si>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</si>
  <si>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</si>
  <si>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</si>
  <si>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</si>
  <si>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</si>
  <si>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</si>
  <si>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</si>
  <si>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</si>
  <si>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</si>
  <si>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</si>
  <si>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</si>
  <si>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</si>
  <si>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</si>
  <si>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</si>
  <si>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</si>
  <si>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</si>
  <si>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</si>
  <si>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</si>
  <si>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</si>
  <si>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</si>
  <si>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</si>
  <si>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</si>
  <si>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</si>
  <si>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</si>
  <si>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</si>
  <si>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</si>
  <si>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</si>
  <si>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</si>
  <si>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</si>
  <si>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</si>
  <si>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</si>
  <si>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</si>
  <si>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</si>
  <si>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</si>
  <si>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</si>
  <si>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</si>
  <si>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</si>
  <si>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</si>
  <si>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</si>
  <si>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</si>
  <si>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</si>
  <si>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</si>
  <si>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</si>
  <si>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</si>
  <si>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</si>
  <si>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</si>
  <si>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</si>
  <si>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</si>
  <si>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</si>
  <si>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</si>
  <si>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</si>
  <si>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</si>
  <si>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</si>
  <si>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</si>
  <si>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</si>
  <si>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</si>
  <si>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</si>
  <si>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</si>
  <si>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</si>
  <si>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</si>
  <si>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</si>
  <si>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</si>
  <si>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</si>
  <si>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</si>
  <si>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</si>
  <si>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</si>
  <si>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</si>
  <si>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</si>
  <si>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</si>
  <si>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</si>
  <si>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</si>
  <si>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</si>
  <si>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</si>
  <si>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</si>
  <si>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</si>
  <si>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</si>
  <si>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</si>
  <si>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</si>
  <si>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</si>
  <si>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</si>
  <si>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</si>
  <si>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</si>
  <si>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</si>
  <si>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</si>
  <si>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</si>
  <si>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</si>
  <si>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</si>
  <si>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</si>
  <si>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</si>
  <si>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</si>
  <si>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</si>
  <si>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</si>
  <si>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</si>
  <si>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</si>
  <si>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</si>
  <si>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</si>
  <si>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</si>
  <si>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</si>
  <si>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</si>
  <si>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</si>
  <si>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</si>
  <si>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</si>
  <si>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</si>
  <si>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</si>
  <si>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</si>
  <si>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</si>
  <si>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</si>
  <si>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</si>
  <si>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</si>
  <si>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</si>
  <si>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</si>
  <si>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</si>
  <si>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</si>
  <si>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</si>
  <si>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</si>
  <si>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</si>
  <si>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</si>
  <si>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</si>
  <si>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</si>
  <si>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</si>
  <si>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</si>
  <si>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</si>
  <si>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</si>
  <si>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</si>
  <si>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</si>
  <si>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</si>
  <si>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</si>
  <si>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</si>
  <si>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</si>
  <si>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</si>
  <si>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</si>
  <si>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</si>
  <si>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</si>
  <si>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</si>
  <si>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</si>
  <si>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</si>
  <si>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</si>
  <si>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</si>
  <si>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</si>
  <si>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</si>
  <si>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</si>
  <si>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</si>
  <si>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</si>
  <si>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</si>
  <si>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</si>
  <si>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</si>
  <si>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</si>
  <si>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</si>
  <si>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</si>
  <si>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</si>
  <si>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</si>
  <si>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</si>
  <si>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</si>
  <si>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</si>
  <si>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</si>
  <si>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</si>
  <si>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</si>
  <si>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</si>
  <si>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</si>
  <si>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</si>
  <si>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</si>
  <si>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</si>
  <si>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</si>
  <si>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</si>
  <si>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</si>
  <si>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</si>
  <si>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</si>
  <si>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</si>
  <si>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</si>
  <si>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</si>
  <si>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</si>
  <si>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</si>
  <si>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</si>
  <si>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</si>
  <si>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</si>
  <si>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</si>
  <si>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</si>
  <si>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</si>
  <si>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</si>
  <si>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</si>
  <si>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</si>
  <si>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</si>
  <si>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</si>
  <si>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</si>
  <si>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</si>
  <si>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</si>
  <si>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</si>
  <si>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</si>
  <si>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</si>
  <si>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</si>
  <si>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</si>
  <si>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</si>
  <si>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</si>
  <si>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</si>
  <si>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</si>
  <si>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</si>
  <si>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</si>
  <si>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</si>
  <si>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</si>
  <si>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</si>
  <si>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</si>
  <si>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</si>
  <si>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</si>
  <si>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</si>
  <si>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</si>
  <si>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</si>
  <si>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</si>
  <si>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</si>
  <si>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</si>
  <si>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</si>
  <si>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</si>
  <si>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</si>
  <si>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</si>
  <si>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</si>
  <si>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</si>
  <si>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</si>
  <si>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</si>
  <si>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</si>
  <si>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</si>
  <si>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</si>
  <si>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</si>
  <si>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</si>
  <si>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</si>
  <si>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</si>
  <si>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</si>
  <si>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</si>
  <si>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</si>
  <si>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</si>
  <si>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</si>
  <si>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</si>
  <si>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</si>
  <si>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</si>
  <si>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</si>
  <si>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</si>
  <si>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</si>
  <si>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</si>
  <si>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</si>
  <si>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</si>
  <si>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</si>
  <si>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</si>
  <si>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</si>
  <si>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</si>
  <si>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</si>
  <si>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</si>
  <si>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</si>
  <si>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</si>
  <si>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</si>
  <si>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</si>
  <si>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</si>
  <si>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</si>
  <si>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</si>
  <si>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</si>
  <si>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</si>
  <si>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</si>
  <si>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</si>
  <si>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</si>
  <si>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</si>
  <si>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</si>
  <si>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</si>
  <si>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</si>
  <si>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</si>
  <si>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</si>
  <si>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</si>
  <si>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</si>
  <si>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</si>
  <si>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</si>
  <si>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</si>
  <si>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</si>
  <si>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</si>
  <si>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</si>
  <si>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</si>
  <si>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</si>
  <si>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</si>
  <si>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</si>
  <si>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</si>
  <si>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</si>
  <si>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</si>
  <si>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</si>
  <si>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</si>
  <si>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</si>
  <si>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</si>
  <si>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</si>
  <si>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</si>
  <si>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</si>
  <si>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</si>
  <si>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</si>
  <si>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</si>
  <si>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</si>
  <si>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</si>
  <si>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</si>
  <si>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</si>
  <si>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</si>
  <si>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</si>
  <si>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</si>
  <si>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</si>
  <si>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</si>
  <si>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</si>
  <si>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</si>
  <si>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</si>
  <si>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</si>
  <si>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</si>
  <si>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</si>
  <si>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</si>
  <si>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</si>
  <si>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</si>
  <si>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</si>
  <si>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</si>
  <si>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</si>
  <si>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</si>
  <si>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</si>
  <si>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</si>
  <si>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</si>
  <si>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</si>
  <si>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</si>
  <si>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</si>
  <si>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</si>
  <si>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</si>
  <si>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</si>
  <si>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</si>
  <si>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</si>
  <si>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</si>
  <si>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</si>
  <si>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</si>
  <si>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</si>
  <si>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</si>
  <si>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</si>
  <si>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</si>
  <si>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</si>
  <si>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</si>
  <si>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</si>
  <si>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</si>
  <si>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</si>
  <si>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</si>
  <si>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</si>
  <si>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</si>
  <si>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</si>
  <si>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</si>
  <si>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</si>
  <si>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</si>
  <si>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</si>
  <si>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</si>
  <si>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</si>
  <si>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</si>
  <si>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</si>
  <si>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</si>
  <si>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</si>
  <si>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</si>
  <si>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</si>
  <si>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</si>
  <si>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</si>
  <si>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</si>
  <si>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</si>
  <si>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</si>
  <si>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</si>
  <si>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</si>
  <si>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</si>
  <si>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</si>
  <si>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</si>
  <si>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</si>
  <si>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</si>
  <si>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</si>
  <si>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</si>
  <si>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</si>
  <si>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</si>
  <si>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</si>
  <si>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</si>
  <si>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</si>
  <si>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</si>
  <si>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</si>
  <si>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</si>
  <si>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</si>
  <si>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</si>
  <si>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</si>
  <si>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</si>
  <si>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</si>
  <si>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</si>
  <si>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</si>
  <si>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</si>
  <si>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</si>
  <si>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</si>
  <si>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</si>
  <si>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</si>
  <si>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</si>
  <si>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</si>
  <si>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</si>
  <si>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</si>
  <si>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</si>
  <si>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</si>
  <si>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</si>
  <si>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</si>
  <si>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</si>
  <si>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</si>
  <si>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</si>
  <si>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</si>
  <si>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</si>
  <si>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</si>
  <si>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</si>
  <si>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</si>
  <si>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</si>
  <si>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</si>
  <si>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</si>
  <si>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</si>
  <si>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</si>
  <si>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</si>
  <si>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</si>
  <si>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</si>
  <si>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</si>
  <si>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</si>
  <si>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</si>
  <si>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</si>
  <si>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</si>
  <si>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</si>
  <si>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</si>
  <si>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</si>
  <si>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</si>
  <si>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</si>
  <si>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</si>
  <si>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</si>
  <si>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</si>
  <si>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</si>
  <si>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</si>
  <si>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</si>
  <si>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</si>
  <si>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</si>
  <si>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</si>
  <si>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</si>
  <si>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</si>
  <si>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</si>
  <si>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</si>
  <si>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</si>
  <si>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</si>
  <si>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</si>
  <si>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</si>
  <si>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</si>
  <si>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</si>
  <si>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</si>
  <si>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</si>
  <si>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</si>
  <si>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</si>
  <si>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</si>
  <si>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</si>
  <si>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</si>
  <si>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</si>
  <si>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</si>
  <si>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</si>
  <si>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</si>
  <si>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</si>
  <si>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</si>
  <si>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</si>
  <si>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</si>
  <si>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</si>
  <si>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</si>
  <si>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</si>
  <si>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</si>
  <si>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</si>
  <si>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</si>
  <si>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</si>
  <si>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</si>
  <si>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</si>
  <si>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</si>
  <si>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</si>
  <si>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</si>
  <si>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</si>
  <si>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</si>
  <si>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</si>
  <si>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</si>
  <si>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</si>
  <si>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</si>
  <si>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</si>
  <si>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</si>
  <si>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</si>
  <si>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</si>
  <si>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</si>
  <si>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</si>
  <si>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</si>
  <si>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</si>
  <si>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</si>
  <si>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</si>
  <si>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</si>
  <si>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</si>
  <si>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</si>
  <si>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</si>
  <si>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</si>
  <si>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</si>
  <si>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</si>
  <si>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</si>
  <si>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</si>
  <si>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</si>
  <si>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</si>
  <si>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</si>
  <si>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</si>
  <si>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</si>
  <si>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</si>
  <si>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</si>
  <si>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</si>
  <si>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</si>
  <si>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</si>
  <si>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</si>
  <si>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</si>
  <si>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</si>
  <si>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</si>
  <si>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</si>
  <si>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</si>
  <si>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</si>
  <si>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</si>
  <si>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</si>
  <si>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</si>
  <si>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</si>
  <si>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</si>
  <si>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</si>
  <si>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</si>
  <si>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</si>
  <si>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</si>
  <si>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</si>
  <si>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</si>
  <si>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</si>
  <si>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</si>
  <si>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</si>
  <si>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</si>
  <si>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</si>
  <si>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</si>
  <si>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</si>
  <si>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</si>
  <si>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</si>
  <si>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</si>
  <si>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</si>
  <si>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</si>
  <si>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</si>
  <si>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</si>
  <si>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</si>
  <si>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</si>
  <si>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</si>
  <si>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</si>
  <si>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</si>
  <si>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</si>
  <si>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</si>
  <si>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</si>
  <si>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</si>
  <si>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</si>
  <si>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</si>
  <si>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</si>
  <si>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</si>
  <si>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</si>
  <si>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</si>
  <si>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</si>
  <si>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</si>
  <si>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</si>
  <si>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</si>
  <si>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</si>
  <si>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</si>
  <si>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</si>
  <si>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</si>
  <si>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</si>
  <si>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</si>
  <si>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</si>
  <si>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</si>
  <si>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</si>
  <si>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</si>
  <si>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</si>
  <si>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</si>
  <si>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</si>
  <si>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</si>
  <si>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</si>
  <si>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</si>
  <si>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</si>
  <si>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</si>
  <si>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</si>
  <si>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</si>
  <si>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</si>
  <si>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</si>
  <si>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</si>
  <si>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</si>
  <si>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</si>
  <si>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</si>
  <si>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</si>
  <si>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</si>
  <si>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</si>
  <si>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</si>
  <si>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</si>
  <si>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</si>
  <si>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</si>
  <si>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</si>
  <si>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</si>
  <si>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</si>
  <si>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</si>
  <si>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</si>
  <si>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</si>
  <si>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</si>
  <si>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</si>
  <si>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</si>
  <si>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</si>
  <si>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</si>
  <si>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</si>
  <si>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</si>
  <si>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</si>
  <si>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</si>
  <si>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</si>
  <si>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</si>
  <si>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</si>
  <si>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</si>
  <si>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</si>
  <si>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</si>
  <si>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</si>
  <si>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</si>
  <si>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</si>
  <si>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</si>
  <si>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</si>
  <si>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</si>
  <si>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</si>
  <si>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</si>
  <si>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</si>
  <si>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</si>
  <si>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</si>
  <si>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</si>
  <si>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</si>
  <si>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</si>
  <si>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</si>
  <si>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</si>
  <si>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</si>
  <si>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</si>
  <si>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</si>
  <si>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</si>
  <si>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</si>
  <si>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</si>
  <si>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</si>
  <si>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</si>
  <si>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</si>
  <si>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</si>
  <si>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</si>
  <si>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</si>
  <si>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</si>
  <si>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</si>
  <si>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</si>
  <si>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</si>
  <si>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</si>
  <si>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</si>
  <si>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</si>
  <si>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</si>
  <si>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Paride</t>
  </si>
  <si>
    <t>Six Feet Unders</t>
  </si>
  <si>
    <t>Guttur</t>
  </si>
  <si>
    <t>Asher</t>
  </si>
  <si>
    <t>Rancor</t>
  </si>
  <si>
    <t>Fuel</t>
  </si>
  <si>
    <t>Kagos</t>
  </si>
  <si>
    <t>Slower</t>
  </si>
  <si>
    <t>Blazer</t>
  </si>
  <si>
    <t>Rutt</t>
  </si>
  <si>
    <t>Splitter</t>
  </si>
  <si>
    <t>Skorr</t>
  </si>
  <si>
    <t>Joint</t>
  </si>
  <si>
    <t>Red</t>
  </si>
  <si>
    <t>Amichevole di Pre-Season</t>
  </si>
  <si>
    <t>Nivo</t>
  </si>
  <si>
    <t>Sure Hands</t>
  </si>
  <si>
    <t>Chosen</t>
  </si>
  <si>
    <t>Teller</t>
  </si>
  <si>
    <t>Guard</t>
  </si>
  <si>
    <t>Cornutone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</si>
</sst>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6"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5">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8" fillId="3" borderId="53" xfId="0" applyFont="1" applyFill="1" applyBorder="1" applyAlignment="1">
      <alignment horizontal="center" vertical="center"/>
    </xf>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49" fillId="0" borderId="2" xfId="0" applyFont="1" applyBorder="1" applyAlignment="1" applyProtection="1">
      <alignment horizontal="center" vertical="center" shrinkToFi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34">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0"/>
      <c r="B1" s="300" t="str">
        <f>IF(Roster!$K$25="Italiano","Blood Bowl 2020 Roster Lega",(IF(Roster!$K$25="Español","Blood Bowl 2020 Roster League",(IF(Roster!$K$25="Deutsch","Blood Bowl 2020 Roster Liga",(IF(Roster!$K$25="Français","Blood Bowl 2020 Roster Ligue","Blood Bowl 2020 Roster League")))))))</f>
        <v>Blood Bowl 2020 Roster League</v>
      </c>
      <c r="C1" s="301"/>
      <c r="D1" s="302"/>
      <c r="E1" s="290"/>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1"/>
      <c r="B2" s="303" t="str">
        <f>Roster!A33</f>
        <v>v9.0 - Created by dreamscreator</v>
      </c>
      <c r="C2" s="304"/>
      <c r="D2" s="305"/>
      <c r="E2" s="29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1"/>
      <c r="B3" s="306" t="str">
        <f>Roster!A34</f>
        <v>https://bloodbowlhelp.wordpress.com</v>
      </c>
      <c r="C3" s="304"/>
      <c r="D3" s="305"/>
      <c r="E3" s="29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1"/>
      <c r="B4" s="307"/>
      <c r="C4" s="304"/>
      <c r="D4" s="305"/>
      <c r="E4" s="29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1"/>
      <c r="B5" s="307" t="str">
        <f>IF(Roster!$K$25="Italiano",M5,(IF(Roster!$K$25="Español",J5,(IF(Roster!$K$25="Deutsch",K5,(IF(Roster!$K$25="Français",L5,I5)))))))</f>
        <v>Compatible with Excel, Google Sheets (just upload Excel to Google Drive) and Libre Office</v>
      </c>
      <c r="C5" s="304"/>
      <c r="D5" s="305"/>
      <c r="E5" s="291"/>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2"/>
      <c r="B6" s="299"/>
      <c r="C6" s="299"/>
      <c r="D6" s="299"/>
      <c r="E6" s="292"/>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1"/>
      <c r="B7" s="307" t="str">
        <f>IF(Roster!$K$25="Italiano",M7,(IF(Roster!$K$25="Español",J7,(IF(Roster!$K$25="Deutsch",K7,(IF(Roster!$K$25="Français",L7,I7)))))))</f>
        <v>If you want help so I can carry on updating the excel rosters, you can donate in the following link. Thank you very much!</v>
      </c>
      <c r="C7" s="304"/>
      <c r="D7" s="305"/>
      <c r="E7" s="291"/>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2"/>
      <c r="B8" s="298" t="s">
        <v>1255</v>
      </c>
      <c r="C8" s="298"/>
      <c r="D8" s="298"/>
      <c r="E8" s="292"/>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2"/>
      <c r="B9" s="296"/>
      <c r="C9" s="297"/>
      <c r="D9" s="297"/>
      <c r="E9" s="292"/>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2"/>
      <c r="B10" s="308" t="str">
        <f>IF(Roster!$K$25="Italiano","Comment utiliser cet Excel",(IF(Roster!K25="Español","Cómo usar este Excel",(IF(Roster!K25="Deutsch","Wie Sie dieses Excel verwenden",(IF(Roster!K25="Français","Comment utiliser cet Excel","How to use this Excel")))))))</f>
        <v>How to use this Excel</v>
      </c>
      <c r="C10" s="309"/>
      <c r="D10" s="310"/>
      <c r="E10" s="292"/>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2"/>
      <c r="B11" s="293" t="str">
        <f>IF(Roster!$K$25="Italiano",M11,(IF(Roster!$K$25="Español",J11,(IF(Roster!$K$25="Deutsch",K11,(IF(Roster!$K$25="Français",L11,I11)))))))</f>
        <v>TO PRINT: Select the cells you want to print and in Print options choose the option print selected cells.</v>
      </c>
      <c r="C11" s="294"/>
      <c r="D11" s="295"/>
      <c r="E11" s="292"/>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2"/>
      <c r="B12" s="293" t="str">
        <f>IF(Roster!$K$25="Italiano",M12,(IF(Roster!$K$25="Español",J12,(IF(Roster!$K$25="Deutsch",K12,(IF(Roster!$K$25="Français",L12,I12)))))))</f>
        <v>The skill of snotlings Low Cost Linemen is activated by default.</v>
      </c>
      <c r="C12" s="294"/>
      <c r="D12" s="295"/>
      <c r="E12" s="292"/>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2"/>
      <c r="B13" s="293"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4"/>
      <c r="D13" s="295"/>
      <c r="E13" s="292"/>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2"/>
      <c r="B14" s="293"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4"/>
      <c r="D14" s="295"/>
      <c r="E14" s="292"/>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2"/>
      <c r="B15" s="293" t="str">
        <f>IF(Roster!$K$25="Italiano",M15,(IF(Roster!$K$25="Español",J15,(IF(Roster!$K$25="Deutsch",K15,(IF(Roster!$K$25="Français",L15,I15)))))))</f>
        <v>In the match tab you can include the winnings and the variation of Dedicated Fans that will be shown with the calculation made automatically in the roster tab.</v>
      </c>
      <c r="C15" s="294"/>
      <c r="D15" s="295"/>
      <c r="E15" s="292"/>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2"/>
      <c r="B16" s="293" t="str">
        <f>IF(Roster!$K$25="Italiano",M16,(IF(Roster!$K$25="Español",J16,(IF(Roster!$K$25="Deutsch",K16,(IF(Roster!$K$25="Français",L16,I16)))))))</f>
        <v>If a player dies or is withdrawn, he should be included in the dead and withdrawn players tab including the cost so that the roster automatically calculates it.</v>
      </c>
      <c r="C16" s="294"/>
      <c r="D16" s="295"/>
      <c r="E16" s="292"/>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2"/>
      <c r="B17" s="293" t="str">
        <f>IF(Roster!$K$25="Italiano",M17,(IF(Roster!$K$25="Español",J17,(IF(Roster!$K$25="Deutsch",K17,(IF(Roster!$K$25="Français",L17,I17)))))))</f>
        <v>The Team Cards sheet is fully automatic, it is only necessary, if desired, to add images for the players or to change the NAF logo to the team logo.</v>
      </c>
      <c r="C17" s="294"/>
      <c r="D17" s="295"/>
      <c r="E17" s="292"/>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2"/>
      <c r="B18" s="219"/>
      <c r="C18" s="219"/>
      <c r="D18" s="219"/>
      <c r="E18" s="292"/>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7"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54" t="str">
        <f>IF($K$25="Italiano","NOME GIOCATORE",(IF($K$25="Español","NOMBRE JUGADOR",(IF($K$25="Deutsch","NAME",(IF($K$25="Français","NOM DU JOUEUR","PLAYER NAME")))))))</f>
        <v>PLAYER NAME</v>
      </c>
      <c r="C1" s="355"/>
      <c r="D1" s="360" t="str">
        <f>IF($K$25="Italiano","TIPO",(IF($K$25="Español","TIPO",(IF($K$25="Deutsch","POSITION",(IF($K$25="Français","POSTE","TYPE")))))))</f>
        <v>TYPE</v>
      </c>
      <c r="E1" s="301"/>
      <c r="F1" s="301"/>
      <c r="G1" s="302"/>
      <c r="H1" s="390" t="str">
        <f>IF($K$25="Italiano","QTA",(IF($K$25="Español","CANT",(IF($K$25="Deutsch","An- zahl",(IF($K$25="Français","QTT","QTY")))))))</f>
        <v>QTY</v>
      </c>
      <c r="I1" s="301"/>
      <c r="J1" s="302"/>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0" t="str">
        <f>IF($K$25="Italiano","ABILITÀ",(IF($K$25="Español","HABILIDADES",(IF($K$25="Deutsch","FERTIGKEITEN",(IF($K$25="Français","COMPÉTENCES","SKILLS")))))))</f>
        <v>SKILLS</v>
      </c>
      <c r="Q1" s="301"/>
      <c r="R1" s="301"/>
      <c r="S1" s="301"/>
      <c r="T1" s="301"/>
      <c r="U1" s="301"/>
      <c r="V1" s="301"/>
      <c r="W1" s="301"/>
      <c r="X1" s="301"/>
      <c r="Y1" s="301"/>
      <c r="Z1" s="302"/>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0" t="str">
        <f>IF($K$25="Italiano","SPP Totali",(IF($K$25="Español","SPP Totales",(IF($K$25="Deutsch","Gesamte SPP",(IF($K$25="Français","Total PSP","Total SPP")))))))</f>
        <v>Total SPP</v>
      </c>
      <c r="AL1" s="302"/>
      <c r="AM1" s="390" t="str">
        <f>IF($K$25="Italiano","SPP Non Spesi",(IF($K$25="Español","SPP Sin gastar",(IF($K$25="Deutsch","Verfügb. SPP",(IF($K$25="Français","PSP restant","Unspent SPP")))))))</f>
        <v>Unspent SPP</v>
      </c>
      <c r="AN1" s="302"/>
      <c r="AO1" s="360" t="str">
        <f>IF($K$25="Italiano","COSTO",(IF($K$25="Español","PRECIO",(IF($K$25="Deutsch","WERT",(IF($K$25="Français","VALEUR","COST")))))))</f>
        <v>COST</v>
      </c>
      <c r="AP1" s="302"/>
      <c r="AQ1" s="345"/>
      <c r="AR1" s="7" t="s">
        <v>30</v>
      </c>
      <c r="AS1" s="8" t="s">
        <v>31</v>
      </c>
      <c r="AT1" s="8"/>
      <c r="AU1" s="8"/>
      <c r="AV1" s="8"/>
      <c r="AW1" s="8"/>
      <c r="AX1" s="8"/>
      <c r="AY1" s="376" t="s">
        <v>32</v>
      </c>
      <c r="AZ1" s="377"/>
      <c r="BA1" s="377"/>
      <c r="BB1" s="377"/>
      <c r="BC1" s="377"/>
      <c r="BD1" s="377"/>
      <c r="BE1" s="377"/>
      <c r="BF1" s="377"/>
      <c r="BG1" s="338"/>
      <c r="BH1" s="8"/>
      <c r="BI1" s="8"/>
      <c r="BJ1" s="8"/>
      <c r="BK1" s="8"/>
      <c r="BL1" s="8"/>
      <c r="BM1" s="8"/>
      <c r="BN1" s="8"/>
      <c r="BO1" s="8"/>
      <c r="BP1" s="8" t="str">
        <f>INDEX(BZ3:BZ36,(SUM(BZ2:CC2)))</f>
        <v>Chaos Dwarf GW</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14" t="s">
        <v>1833</v>
      </c>
      <c r="C2" s="315"/>
      <c r="D2" s="397" t="s">
        <v>1782</v>
      </c>
      <c r="E2" s="364"/>
      <c r="F2" s="364"/>
      <c r="G2" s="364"/>
      <c r="H2" s="18">
        <f>IF(D2="",0,(COUNTIF(D2:G17,D2)))</f>
        <v>2</v>
      </c>
      <c r="I2" s="19" t="s">
        <v>34</v>
      </c>
      <c r="J2" s="20">
        <f>IFERROR((VLOOKUP($BP$1&amp;D2,Teams!D:M,10,0)),0)</f>
        <v>2</v>
      </c>
      <c r="K2" s="21">
        <f t="shared" ref="K2:L2" si="0">IFERROR(L61,0)</f>
        <v>6</v>
      </c>
      <c r="L2" s="21">
        <f t="shared" si="0"/>
        <v>4</v>
      </c>
      <c r="M2" s="21" t="str">
        <f t="shared" ref="M2:O2" si="1">IFERROR(N61&amp;"+",0)</f>
        <v>4+</v>
      </c>
      <c r="N2" s="21" t="str">
        <f t="shared" si="1"/>
        <v>6+</v>
      </c>
      <c r="O2" s="21" t="str">
        <f t="shared" si="1"/>
        <v>10+</v>
      </c>
      <c r="P2" s="391" t="str">
        <f>IFERROR((IF(AW2="YES",(VLOOKUP($BP$1&amp;D2,Teams!D:M,7,0)&amp;BG2),AX2)),"")</f>
        <v>Sprint, Sure Feet, Thick Skull, Sure Hands</v>
      </c>
      <c r="Q2" s="392"/>
      <c r="R2" s="392"/>
      <c r="S2" s="392"/>
      <c r="T2" s="392"/>
      <c r="U2" s="392"/>
      <c r="V2" s="392"/>
      <c r="W2" s="392"/>
      <c r="X2" s="392"/>
      <c r="Y2" s="392"/>
      <c r="Z2" s="393"/>
      <c r="AA2" s="61"/>
      <c r="AB2" s="61"/>
      <c r="AC2" s="62"/>
      <c r="AD2" s="62">
        <v>3</v>
      </c>
      <c r="AE2" s="62"/>
      <c r="AF2" s="63"/>
      <c r="AG2" s="63"/>
      <c r="AH2" s="63"/>
      <c r="AI2" s="63"/>
      <c r="AJ2" s="64">
        <v>1</v>
      </c>
      <c r="AK2" s="359">
        <f t="shared" ref="AK2" si="2">AB2+AC2+(AD2*3)+AE2+(AF2*2)+(AG2*2)+(AH2*2)+(AI2*2)+(AJ2*4)</f>
        <v>13</v>
      </c>
      <c r="AL2" s="358"/>
      <c r="AM2" s="359">
        <f t="shared" ref="AM2:AM16" si="3">AK2-AJ37</f>
        <v>7</v>
      </c>
      <c r="AN2" s="358"/>
      <c r="AO2" s="359">
        <f>IFERROR((VLOOKUP($BP$1&amp;D2,Teams!D:M,8,0)+AH37),0)</f>
        <v>150000</v>
      </c>
      <c r="AP2" s="358"/>
      <c r="AQ2" s="345"/>
      <c r="AR2" s="7">
        <f>IFERROR((IF(AA2&lt;&gt;"",0,((VLOOKUP($BP$1&amp;D2,Teams!D:M,9,0)+(AH37/1000)-(AB37/1000))))),0)</f>
        <v>150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Sure Hands</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Sure Hands</v>
      </c>
      <c r="BH2" t="str">
        <f>IFERROR((IF((VLOOKUP($BP$1&amp;D2,Teams!D:M,7,0))="","",", ")),"")</f>
        <v xml:space="preserve">, </v>
      </c>
      <c r="BI2" s="8"/>
      <c r="BJ2" s="8" t="str">
        <f>$BP$1&amp;1</f>
        <v>Chaos Dwarf GW1</v>
      </c>
      <c r="BK2" t="str">
        <f>IFERROR(IF((VLOOKUP(BJ2,Teams!B:C,2,FALSE))=0,"",(VLOOKUP(BJ2,Teams!B:C,2,FALSE))),"")</f>
        <v/>
      </c>
      <c r="BL2" s="8"/>
      <c r="BN2" s="10"/>
      <c r="BO2" s="10" t="s">
        <v>35</v>
      </c>
      <c r="BP2" s="8" t="str">
        <f>INDEX(BO3:BO36,(SUM(BZ2:CC2)))</f>
        <v>ChaosDwarfGW</v>
      </c>
      <c r="BQ2" s="10" t="s">
        <v>36</v>
      </c>
      <c r="BR2" s="10" t="s">
        <v>37</v>
      </c>
      <c r="BS2" s="10" t="s">
        <v>38</v>
      </c>
      <c r="BT2" s="11" t="s">
        <v>39</v>
      </c>
      <c r="BU2" s="11" t="s">
        <v>40</v>
      </c>
      <c r="BV2" s="9" t="str">
        <f>VLOOKUP(BP1,BM:BU,9,FALSE)</f>
        <v>BadlandsBrawlFavouredofHashut</v>
      </c>
      <c r="BW2" s="9">
        <f>VLOOKUP(BP1,BM1:BV38,10,FALSE)</f>
        <v>0</v>
      </c>
      <c r="BX2" s="9">
        <f>VLOOKUP(BP1,BM1:BW38,11,FALSE)</f>
        <v>0</v>
      </c>
      <c r="BY2" s="8"/>
      <c r="BZ2" s="10">
        <f>IFERROR(MATCH($K$23,BZ3:BZ50,0),0)</f>
        <v>6</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14" t="s">
        <v>1834</v>
      </c>
      <c r="C3" s="315"/>
      <c r="D3" s="397" t="s">
        <v>1782</v>
      </c>
      <c r="E3" s="364"/>
      <c r="F3" s="364"/>
      <c r="G3" s="364"/>
      <c r="H3" s="18">
        <f>IF(D3="",0,(COUNTIF(D2:G17,D3)))</f>
        <v>2</v>
      </c>
      <c r="I3" s="19" t="s">
        <v>34</v>
      </c>
      <c r="J3" s="20">
        <f>IFERROR((VLOOKUP($BP$1&amp;D3,Teams!D:M,10,0)),0)</f>
        <v>2</v>
      </c>
      <c r="K3" s="21">
        <f t="shared" ref="K3:L3" si="10">IFERROR(L62,0)</f>
        <v>6</v>
      </c>
      <c r="L3" s="21">
        <f t="shared" si="10"/>
        <v>4</v>
      </c>
      <c r="M3" s="21" t="str">
        <f t="shared" ref="M3:O3" si="11">IFERROR(N62&amp;"+",0)</f>
        <v>4+</v>
      </c>
      <c r="N3" s="21" t="str">
        <f t="shared" si="11"/>
        <v>6+</v>
      </c>
      <c r="O3" s="21" t="str">
        <f t="shared" si="11"/>
        <v>10+</v>
      </c>
      <c r="P3" s="391" t="str">
        <f>IFERROR((IF(AW3="YES",(VLOOKUP($BP$1&amp;D3,Teams!D:M,7,0)&amp;BG3),AX3)),"")</f>
        <v>Sprint, Sure Feet, Thick Skull, Block</v>
      </c>
      <c r="Q3" s="392"/>
      <c r="R3" s="392"/>
      <c r="S3" s="392"/>
      <c r="T3" s="392"/>
      <c r="U3" s="392"/>
      <c r="V3" s="392"/>
      <c r="W3" s="392"/>
      <c r="X3" s="392"/>
      <c r="Y3" s="392"/>
      <c r="Z3" s="393"/>
      <c r="AA3" s="61"/>
      <c r="AB3" s="61"/>
      <c r="AC3" s="62"/>
      <c r="AD3" s="62">
        <v>1</v>
      </c>
      <c r="AE3" s="62"/>
      <c r="AF3" s="63"/>
      <c r="AG3" s="63">
        <v>1</v>
      </c>
      <c r="AH3" s="63">
        <v>1</v>
      </c>
      <c r="AI3" s="63"/>
      <c r="AJ3" s="63"/>
      <c r="AK3" s="359">
        <f t="shared" ref="AK3:AK16" si="12">AB3+AC3+(AD3*3)+AE3+(AF3*2)+(AG3*2)+(AH3*2)+(AI3*2)+(AJ3*4)</f>
        <v>7</v>
      </c>
      <c r="AL3" s="358"/>
      <c r="AM3" s="359">
        <f t="shared" si="3"/>
        <v>1</v>
      </c>
      <c r="AN3" s="358"/>
      <c r="AO3" s="359">
        <f>IFERROR((VLOOKUP($BP$1&amp;D3,Teams!D:M,8,0)+AH38),0)</f>
        <v>150000</v>
      </c>
      <c r="AP3" s="358"/>
      <c r="AQ3" s="345"/>
      <c r="AR3" s="7">
        <f>IFERROR((IF(AA3&lt;&gt;"",0,((VLOOKUP($BP$1&amp;D3,Teams!D:M,9,0)+(AH38/1000)-(AB38/1000))))),0)</f>
        <v>150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Block</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Block</v>
      </c>
      <c r="BH3" t="str">
        <f>IFERROR((IF((VLOOKUP($BP$1&amp;D3,Teams!D:M,7,0))="","",", ")),"")</f>
        <v xml:space="preserve">, </v>
      </c>
      <c r="BJ3" s="8" t="str">
        <f>$BP$1&amp;2</f>
        <v>Chaos Dwarf GW2</v>
      </c>
      <c r="BK3" t="str">
        <f>IFERROR(IF((VLOOKUP(BJ3,Teams!B:C,2,FALSE))=0,"",(VLOOKUP(BJ3,Teams!B:C,2,FALSE))),"")</f>
        <v>Hobgoblin 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14" t="s">
        <v>1835</v>
      </c>
      <c r="C4" s="315"/>
      <c r="D4" s="361" t="s">
        <v>1770</v>
      </c>
      <c r="E4" s="398"/>
      <c r="F4" s="398"/>
      <c r="G4" s="362"/>
      <c r="H4" s="18">
        <f>IF(D4="",0,(COUNTIF(D2:G17,D4)))</f>
        <v>4</v>
      </c>
      <c r="I4" s="19" t="s">
        <v>34</v>
      </c>
      <c r="J4" s="20">
        <f>IFERROR((VLOOKUP($BP$1&amp;D4,Teams!D:M,10,0)),0)</f>
        <v>4</v>
      </c>
      <c r="K4" s="21">
        <f t="shared" ref="K4:L4" si="20">IFERROR(L63,0)</f>
        <v>4</v>
      </c>
      <c r="L4" s="21">
        <f t="shared" si="20"/>
        <v>3</v>
      </c>
      <c r="M4" s="21" t="str">
        <f t="shared" ref="M4:O4" si="21">IFERROR(N63&amp;"+",0)</f>
        <v>4+</v>
      </c>
      <c r="N4" s="21" t="str">
        <f t="shared" si="21"/>
        <v>6+</v>
      </c>
      <c r="O4" s="21" t="str">
        <f t="shared" si="21"/>
        <v>10+</v>
      </c>
      <c r="P4" s="391" t="str">
        <f>IFERROR((IF(AW4="YES",(VLOOKUP($BP$1&amp;D4,Teams!D:M,7,0)&amp;BG4),AX4)),"")</f>
        <v>Block, Iron Hard Skin, Thick Skull - 1 NI</v>
      </c>
      <c r="Q4" s="392"/>
      <c r="R4" s="392"/>
      <c r="S4" s="392"/>
      <c r="T4" s="392"/>
      <c r="U4" s="392"/>
      <c r="V4" s="392"/>
      <c r="W4" s="392"/>
      <c r="X4" s="392"/>
      <c r="Y4" s="392"/>
      <c r="Z4" s="393"/>
      <c r="AA4" s="61"/>
      <c r="AB4" s="61"/>
      <c r="AC4" s="62"/>
      <c r="AD4" s="62"/>
      <c r="AE4" s="62"/>
      <c r="AF4" s="63"/>
      <c r="AG4" s="63"/>
      <c r="AH4" s="63"/>
      <c r="AI4" s="63"/>
      <c r="AJ4" s="64">
        <v>1</v>
      </c>
      <c r="AK4" s="359">
        <f t="shared" si="12"/>
        <v>4</v>
      </c>
      <c r="AL4" s="358"/>
      <c r="AM4" s="359">
        <f t="shared" si="3"/>
        <v>4</v>
      </c>
      <c r="AN4" s="358"/>
      <c r="AO4" s="359">
        <f>IFERROR((VLOOKUP($BP$1&amp;D4,Teams!D:M,8,0)+AH39),0)</f>
        <v>70000</v>
      </c>
      <c r="AP4" s="358"/>
      <c r="AQ4" s="345"/>
      <c r="AR4" s="7">
        <f>IFERROR((IF(AA4&lt;&gt;"",0,((VLOOKUP($BP$1&amp;D4,Teams!D:M,9,0)+(AH39/1000)-(AB39/1000))))),0)</f>
        <v>70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xml:space="preserve"> - 1 NI</v>
      </c>
      <c r="BG4" s="23" t="str">
        <f t="shared" si="9"/>
        <v xml:space="preserve"> - 1 NI</v>
      </c>
      <c r="BH4" t="str">
        <f>IFERROR((IF((VLOOKUP($BP$1&amp;D4,Teams!D:M,7,0))="","",", ")),"")</f>
        <v xml:space="preserve">, </v>
      </c>
      <c r="BJ4" s="8" t="str">
        <f>$BP$1&amp;3</f>
        <v>Chaos Dwarf GW3</v>
      </c>
      <c r="BK4" t="str">
        <f>IFERROR(IF((VLOOKUP(BJ4,Teams!B:C,2,FALSE))=0,"",(VLOOKUP(BJ4,Teams!B:C,2,FALSE))),"")</f>
        <v>Hobgoblin Sneaky Stabba</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14" t="s">
        <v>1836</v>
      </c>
      <c r="C5" s="315"/>
      <c r="D5" s="361" t="s">
        <v>1770</v>
      </c>
      <c r="E5" s="398"/>
      <c r="F5" s="398"/>
      <c r="G5" s="362"/>
      <c r="H5" s="18">
        <f>IF(D5="",0,(COUNTIF(D2:G17,D5)))</f>
        <v>4</v>
      </c>
      <c r="I5" s="19" t="s">
        <v>34</v>
      </c>
      <c r="J5" s="20">
        <f>IFERROR((VLOOKUP($BP$1&amp;D5,Teams!D:M,10,0)),0)</f>
        <v>4</v>
      </c>
      <c r="K5" s="21">
        <f t="shared" ref="K5:L5" si="23">IFERROR(L64,0)</f>
        <v>4</v>
      </c>
      <c r="L5" s="21">
        <f t="shared" si="23"/>
        <v>3</v>
      </c>
      <c r="M5" s="21" t="str">
        <f t="shared" ref="M5:O5" si="24">IFERROR(N64&amp;"+",0)</f>
        <v>4+</v>
      </c>
      <c r="N5" s="21" t="str">
        <f t="shared" si="24"/>
        <v>6+</v>
      </c>
      <c r="O5" s="21" t="str">
        <f t="shared" si="24"/>
        <v>10+</v>
      </c>
      <c r="P5" s="391" t="str">
        <f>IFERROR((IF(AW5="YES",(VLOOKUP($BP$1&amp;D5,Teams!D:M,7,0)&amp;BG5),AX5)),"")</f>
        <v>Block, Iron Hard Skin, Thick Skull</v>
      </c>
      <c r="Q5" s="392"/>
      <c r="R5" s="392"/>
      <c r="S5" s="392"/>
      <c r="T5" s="392"/>
      <c r="U5" s="392"/>
      <c r="V5" s="392"/>
      <c r="W5" s="392"/>
      <c r="X5" s="392"/>
      <c r="Y5" s="392"/>
      <c r="Z5" s="393"/>
      <c r="AA5" s="61"/>
      <c r="AB5" s="61"/>
      <c r="AC5" s="62"/>
      <c r="AD5" s="62"/>
      <c r="AE5" s="62"/>
      <c r="AF5" s="63"/>
      <c r="AG5" s="63"/>
      <c r="AH5" s="63"/>
      <c r="AI5" s="63"/>
      <c r="AJ5" s="63"/>
      <c r="AK5" s="359">
        <f t="shared" si="12"/>
        <v>0</v>
      </c>
      <c r="AL5" s="358"/>
      <c r="AM5" s="359">
        <f t="shared" si="3"/>
        <v>0</v>
      </c>
      <c r="AN5" s="358"/>
      <c r="AO5" s="359">
        <f>IFERROR((VLOOKUP($BP$1&amp;D5,Teams!D:M,8,0)+AH40),0)</f>
        <v>70000</v>
      </c>
      <c r="AP5" s="358"/>
      <c r="AQ5" s="345"/>
      <c r="AR5" s="7">
        <f>IFERROR((IF(AA5&lt;&gt;"",0,((VLOOKUP($BP$1&amp;D5,Teams!D:M,9,0)+(AH40/1000)-(AB40/1000))))),0)</f>
        <v>70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Chaos Dwarf GW4</v>
      </c>
      <c r="BK5" t="str">
        <f>IFERROR(IF((VLOOKUP(BJ5,Teams!B:C,2,FALSE))=0,"",(VLOOKUP(BJ5,Teams!B:C,2,FALSE))),"")</f>
        <v>Chaos Dwarf Blocker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14" t="s">
        <v>1837</v>
      </c>
      <c r="C6" s="315"/>
      <c r="D6" s="397" t="s">
        <v>1770</v>
      </c>
      <c r="E6" s="364"/>
      <c r="F6" s="364"/>
      <c r="G6" s="364"/>
      <c r="H6" s="18">
        <f>IF(D6="",0,(COUNTIF(D2:G17,D6)))</f>
        <v>4</v>
      </c>
      <c r="I6" s="19" t="s">
        <v>34</v>
      </c>
      <c r="J6" s="20">
        <f>IFERROR((VLOOKUP($BP$1&amp;D6,Teams!D:M,10,0)),0)</f>
        <v>4</v>
      </c>
      <c r="K6" s="21">
        <f t="shared" ref="K6:L6" si="25">IFERROR(L65,0)</f>
        <v>4</v>
      </c>
      <c r="L6" s="21">
        <f t="shared" si="25"/>
        <v>3</v>
      </c>
      <c r="M6" s="21" t="str">
        <f t="shared" ref="M6:O6" si="26">IFERROR(N65&amp;"+",0)</f>
        <v>4+</v>
      </c>
      <c r="N6" s="21" t="str">
        <f t="shared" si="26"/>
        <v>6+</v>
      </c>
      <c r="O6" s="21" t="str">
        <f t="shared" si="26"/>
        <v>10+</v>
      </c>
      <c r="P6" s="391" t="str">
        <f>IFERROR((IF(AW6="YES",(VLOOKUP($BP$1&amp;D6,Teams!D:M,7,0)&amp;BG6),AX6)),"")</f>
        <v>Block, Iron Hard Skin, Thick Skull</v>
      </c>
      <c r="Q6" s="392"/>
      <c r="R6" s="392"/>
      <c r="S6" s="392"/>
      <c r="T6" s="392"/>
      <c r="U6" s="392"/>
      <c r="V6" s="392"/>
      <c r="W6" s="392"/>
      <c r="X6" s="392"/>
      <c r="Y6" s="392"/>
      <c r="Z6" s="393"/>
      <c r="AA6" s="61"/>
      <c r="AB6" s="61"/>
      <c r="AC6" s="62"/>
      <c r="AD6" s="62"/>
      <c r="AE6" s="62"/>
      <c r="AF6" s="63"/>
      <c r="AG6" s="63">
        <v>1</v>
      </c>
      <c r="AH6" s="63"/>
      <c r="AI6" s="63">
        <v>1</v>
      </c>
      <c r="AJ6" s="63"/>
      <c r="AK6" s="359">
        <f t="shared" si="12"/>
        <v>4</v>
      </c>
      <c r="AL6" s="358"/>
      <c r="AM6" s="359">
        <f t="shared" si="3"/>
        <v>4</v>
      </c>
      <c r="AN6" s="358"/>
      <c r="AO6" s="359">
        <f>IFERROR((VLOOKUP($BP$1&amp;D6,Teams!D:M,8,0)+AH41),0)</f>
        <v>70000</v>
      </c>
      <c r="AP6" s="358"/>
      <c r="AQ6" s="345"/>
      <c r="AR6" s="7">
        <f>IFERROR((IF(AA6&lt;&gt;"",0,((VLOOKUP($BP$1&amp;D6,Teams!D:M,9,0)+(AH41/1000)-(AB41/1000))))),0)</f>
        <v>70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Chaos Dwarf GW5</v>
      </c>
      <c r="BK6" t="str">
        <f>IFERROR(IF((VLOOKUP(BJ6,Teams!B:C,2,FALSE))=0,"",(VLOOKUP(BJ6,Teams!B:C,2,FALSE))),"")</f>
        <v>Chaos Dwarf Flamesmith</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14" t="s">
        <v>1838</v>
      </c>
      <c r="C7" s="315"/>
      <c r="D7" s="361" t="s">
        <v>1770</v>
      </c>
      <c r="E7" s="398"/>
      <c r="F7" s="398"/>
      <c r="G7" s="362"/>
      <c r="H7" s="18">
        <f>IF(D7="",0,(COUNTIF(D2:G17,D7)))</f>
        <v>4</v>
      </c>
      <c r="I7" s="19" t="s">
        <v>34</v>
      </c>
      <c r="J7" s="20">
        <f>IFERROR((VLOOKUP($BP$1&amp;D7,Teams!D:M,10,0)),0)</f>
        <v>4</v>
      </c>
      <c r="K7" s="21">
        <f t="shared" ref="K7:L7" si="27">IFERROR(L66,0)</f>
        <v>4</v>
      </c>
      <c r="L7" s="21">
        <f t="shared" si="27"/>
        <v>3</v>
      </c>
      <c r="M7" s="21" t="str">
        <f t="shared" ref="M7:O7" si="28">IFERROR(N66&amp;"+",0)</f>
        <v>4+</v>
      </c>
      <c r="N7" s="21" t="str">
        <f t="shared" si="28"/>
        <v>6+</v>
      </c>
      <c r="O7" s="21" t="str">
        <f t="shared" si="28"/>
        <v>10+</v>
      </c>
      <c r="P7" s="391" t="str">
        <f>IFERROR((IF(AW7="YES",(VLOOKUP($BP$1&amp;D7,Teams!D:M,7,0)&amp;BG7),AX7)),"")</f>
        <v>Block, Iron Hard Skin, Thick Skull, Guard</v>
      </c>
      <c r="Q7" s="392"/>
      <c r="R7" s="392"/>
      <c r="S7" s="392"/>
      <c r="T7" s="392"/>
      <c r="U7" s="392"/>
      <c r="V7" s="392"/>
      <c r="W7" s="392"/>
      <c r="X7" s="392"/>
      <c r="Y7" s="392"/>
      <c r="Z7" s="393"/>
      <c r="AA7" s="61"/>
      <c r="AB7" s="61"/>
      <c r="AC7" s="62"/>
      <c r="AD7" s="62"/>
      <c r="AE7" s="62"/>
      <c r="AF7" s="63"/>
      <c r="AG7" s="63"/>
      <c r="AH7" s="63"/>
      <c r="AI7" s="63">
        <v>1</v>
      </c>
      <c r="AJ7" s="63">
        <v>1</v>
      </c>
      <c r="AK7" s="359">
        <f t="shared" si="12"/>
        <v>6</v>
      </c>
      <c r="AL7" s="358"/>
      <c r="AM7" s="359">
        <f t="shared" si="3"/>
        <v>0</v>
      </c>
      <c r="AN7" s="358"/>
      <c r="AO7" s="359">
        <f>IFERROR((VLOOKUP($BP$1&amp;D7,Teams!D:M,8,0)+AH42),0)</f>
        <v>90000</v>
      </c>
      <c r="AP7" s="358"/>
      <c r="AQ7" s="345"/>
      <c r="AR7" s="7">
        <f>IFERROR((IF(AA7&lt;&gt;"",0,((VLOOKUP($BP$1&amp;D7,Teams!D:M,9,0)+(AH42/1000)-(AB42/1000))))),0)</f>
        <v>90</v>
      </c>
      <c r="AS7" s="8">
        <f>IFERROR((VLOOKUP($BP$1&amp;D7,Teams!D:N,11,0)),0)</f>
        <v>0</v>
      </c>
      <c r="AT7" s="8" t="str">
        <f t="shared" si="4"/>
        <v/>
      </c>
      <c r="AU7" s="8" t="str">
        <f t="shared" si="5"/>
        <v/>
      </c>
      <c r="AV7" s="8" t="str">
        <f t="shared" si="6"/>
        <v/>
      </c>
      <c r="AW7" s="8" t="str">
        <f t="shared" si="7"/>
        <v>YES</v>
      </c>
      <c r="AX7" s="8" t="str">
        <f t="shared" si="8"/>
        <v/>
      </c>
      <c r="AY7" s="22" t="str">
        <f t="shared" si="13"/>
        <v>, Guard</v>
      </c>
      <c r="AZ7" s="22" t="str">
        <f t="shared" si="14"/>
        <v/>
      </c>
      <c r="BA7" s="22" t="str">
        <f t="shared" si="15"/>
        <v/>
      </c>
      <c r="BB7" s="22" t="str">
        <f t="shared" si="16"/>
        <v/>
      </c>
      <c r="BC7" s="22" t="str">
        <f t="shared" si="17"/>
        <v/>
      </c>
      <c r="BD7" s="22" t="str">
        <f t="shared" si="18"/>
        <v/>
      </c>
      <c r="BE7" s="22"/>
      <c r="BF7" s="22" t="str">
        <f t="shared" si="19"/>
        <v/>
      </c>
      <c r="BG7" s="23" t="str">
        <f t="shared" si="9"/>
        <v>, Guard</v>
      </c>
      <c r="BH7" t="str">
        <f>IFERROR((IF((VLOOKUP($BP$1&amp;D7,Teams!D:M,7,0))="","",", ")),"")</f>
        <v xml:space="preserve">, </v>
      </c>
      <c r="BJ7" s="8" t="str">
        <f>$BP$1&amp;6</f>
        <v>Chaos Dwarf GW6</v>
      </c>
      <c r="BK7" t="str">
        <f>IFERROR(IF((VLOOKUP(BJ7,Teams!B:C,2,FALSE))=0,"",(VLOOKUP(BJ7,Teams!B:C,2,FALSE))),"")</f>
        <v>Bull Centaur Blitzer</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14" t="s">
        <v>1839</v>
      </c>
      <c r="C8" s="315"/>
      <c r="D8" s="361" t="s">
        <v>1776</v>
      </c>
      <c r="E8" s="398"/>
      <c r="F8" s="398"/>
      <c r="G8" s="362"/>
      <c r="H8" s="18">
        <f>IF(D8="",0,(COUNTIF(D2:G17,D8)))</f>
        <v>1</v>
      </c>
      <c r="I8" s="19" t="s">
        <v>34</v>
      </c>
      <c r="J8" s="20">
        <f>IFERROR((VLOOKUP($BP$1&amp;D8,Teams!D:M,10,0)),0)</f>
        <v>2</v>
      </c>
      <c r="K8" s="21">
        <f t="shared" ref="K8:L8" si="30">IFERROR(L67,0)</f>
        <v>5</v>
      </c>
      <c r="L8" s="21">
        <f t="shared" si="30"/>
        <v>3</v>
      </c>
      <c r="M8" s="21" t="str">
        <f t="shared" ref="M8:O8" si="31">IFERROR(N67&amp;"+",0)</f>
        <v>4+</v>
      </c>
      <c r="N8" s="21" t="str">
        <f t="shared" si="31"/>
        <v>6+</v>
      </c>
      <c r="O8" s="21" t="str">
        <f t="shared" si="31"/>
        <v>10+</v>
      </c>
      <c r="P8" s="391" t="str">
        <f>IFERROR((IF(AW8="YES",(VLOOKUP($BP$1&amp;D8,Teams!D:M,7,0)&amp;BG8),AX8)),"")</f>
        <v>Brawler, Breathe Fire, Disturbing Presence, Thick Skull</v>
      </c>
      <c r="Q8" s="392"/>
      <c r="R8" s="392"/>
      <c r="S8" s="392"/>
      <c r="T8" s="392"/>
      <c r="U8" s="392"/>
      <c r="V8" s="392"/>
      <c r="W8" s="392"/>
      <c r="X8" s="392"/>
      <c r="Y8" s="392"/>
      <c r="Z8" s="393"/>
      <c r="AA8" s="61"/>
      <c r="AB8" s="61"/>
      <c r="AC8" s="62"/>
      <c r="AD8" s="62"/>
      <c r="AE8" s="62"/>
      <c r="AF8" s="63"/>
      <c r="AG8" s="63"/>
      <c r="AH8" s="63">
        <v>1</v>
      </c>
      <c r="AI8" s="63"/>
      <c r="AJ8" s="63"/>
      <c r="AK8" s="359">
        <f t="shared" si="12"/>
        <v>2</v>
      </c>
      <c r="AL8" s="358"/>
      <c r="AM8" s="359">
        <f t="shared" si="3"/>
        <v>2</v>
      </c>
      <c r="AN8" s="358"/>
      <c r="AO8" s="359">
        <f>IFERROR((VLOOKUP($BP$1&amp;D8,Teams!D:M,8,0)+AH43),0)</f>
        <v>80000</v>
      </c>
      <c r="AP8" s="358"/>
      <c r="AQ8" s="345"/>
      <c r="AR8" s="7">
        <f>IFERROR((IF(AA8&lt;&gt;"",0,((VLOOKUP($BP$1&amp;D8,Teams!D:M,9,0)+(AH43/1000)-(AB43/1000))))),0)</f>
        <v>80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Chaos Dwarf GW7</v>
      </c>
      <c r="BK8" t="str">
        <f>IFERROR(IF((VLOOKUP(BJ8,Teams!B:C,2,FALSE))=0,"",(VLOOKUP(BJ8,Teams!B:C,2,FALSE))),"")</f>
        <v>Minotaur</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14"/>
      <c r="C9" s="315"/>
      <c r="D9" s="314"/>
      <c r="E9" s="341"/>
      <c r="F9" s="341"/>
      <c r="G9" s="315"/>
      <c r="H9" s="18">
        <f>IF(D9="",0,(COUNTIF(D2:G17,D9)))</f>
        <v>0</v>
      </c>
      <c r="I9" s="19" t="s">
        <v>34</v>
      </c>
      <c r="J9" s="20">
        <f>IFERROR((VLOOKUP($BP$1&amp;D9,Teams!D:M,10,0)),0)</f>
        <v>0</v>
      </c>
      <c r="K9" s="21">
        <f t="shared" ref="K9:L9" si="32">IFERROR(L68,0)</f>
        <v>0</v>
      </c>
      <c r="L9" s="21">
        <f t="shared" si="32"/>
        <v>0</v>
      </c>
      <c r="M9" s="21" t="str">
        <f t="shared" ref="M9:O9" si="33">IFERROR(N68&amp;"+",0)</f>
        <v>0+</v>
      </c>
      <c r="N9" s="21" t="str">
        <f t="shared" si="33"/>
        <v>0+</v>
      </c>
      <c r="O9" s="21" t="str">
        <f t="shared" si="33"/>
        <v>0+</v>
      </c>
      <c r="P9" s="391" t="str">
        <f>IFERROR((IF(AW9="YES",(VLOOKUP($BP$1&amp;D9,Teams!D:M,7,0)&amp;BG9),AX9)),"")</f>
        <v>0</v>
      </c>
      <c r="Q9" s="392"/>
      <c r="R9" s="392"/>
      <c r="S9" s="392"/>
      <c r="T9" s="392"/>
      <c r="U9" s="392"/>
      <c r="V9" s="392"/>
      <c r="W9" s="392"/>
      <c r="X9" s="392"/>
      <c r="Y9" s="392"/>
      <c r="Z9" s="393"/>
      <c r="AA9" s="61"/>
      <c r="AB9" s="61"/>
      <c r="AC9" s="62"/>
      <c r="AD9" s="62"/>
      <c r="AE9" s="62"/>
      <c r="AF9" s="63"/>
      <c r="AG9" s="63"/>
      <c r="AH9" s="63"/>
      <c r="AI9" s="63"/>
      <c r="AJ9" s="63"/>
      <c r="AK9" s="359">
        <f t="shared" si="12"/>
        <v>0</v>
      </c>
      <c r="AL9" s="358"/>
      <c r="AM9" s="359">
        <f t="shared" si="3"/>
        <v>0</v>
      </c>
      <c r="AN9" s="358"/>
      <c r="AO9" s="359">
        <f>IFERROR((VLOOKUP($BP$1&amp;D9,Teams!D:M,8,0)+AH44),0)</f>
        <v>0</v>
      </c>
      <c r="AP9" s="358"/>
      <c r="AQ9" s="345"/>
      <c r="AR9" s="7">
        <f>IFERROR((IF(AA9&lt;&gt;"",0,((VLOOKUP($BP$1&amp;D9,Teams!D:M,9,0)+(AH44/1000)-(AB44/1000))))),0)</f>
        <v>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Chaos Dwarf GW8</v>
      </c>
      <c r="BK9" t="str">
        <f>IFERROR(IF((VLOOKUP(BJ9,Teams!B:C,2,FALSE))=0,"",(VLOOKUP(BJ9,Teams!B:C,2,FALSE))),"")</f>
        <v>Journey Hobgoblin Lineman</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14" t="s">
        <v>1841</v>
      </c>
      <c r="C10" s="315"/>
      <c r="D10" s="361" t="s">
        <v>1766</v>
      </c>
      <c r="E10" s="398"/>
      <c r="F10" s="398"/>
      <c r="G10" s="362"/>
      <c r="H10" s="18">
        <f>IF(D10="",0,(COUNTIF(D2:G17,D10)))</f>
        <v>4</v>
      </c>
      <c r="I10" s="19" t="s">
        <v>34</v>
      </c>
      <c r="J10" s="20">
        <f>IFERROR((VLOOKUP($BP$1&amp;D10,Teams!D:M,10,0)),0)</f>
        <v>16</v>
      </c>
      <c r="K10" s="21">
        <f t="shared" ref="K10:L10" si="34">IFERROR(L69,0)</f>
        <v>6</v>
      </c>
      <c r="L10" s="21">
        <f t="shared" si="34"/>
        <v>3</v>
      </c>
      <c r="M10" s="21" t="str">
        <f t="shared" ref="M10:O10" si="35">IFERROR(N69&amp;"+",0)</f>
        <v>3+</v>
      </c>
      <c r="N10" s="21" t="str">
        <f t="shared" si="35"/>
        <v>4+</v>
      </c>
      <c r="O10" s="21" t="str">
        <f t="shared" si="35"/>
        <v>8+</v>
      </c>
      <c r="P10" s="391" t="str">
        <f>IFERROR((IF(AW10="YES",(VLOOKUP($BP$1&amp;D10,Teams!D:M,7,0)&amp;BG10),AX10)),"")</f>
        <v xml:space="preserve"> </v>
      </c>
      <c r="Q10" s="392"/>
      <c r="R10" s="392"/>
      <c r="S10" s="392"/>
      <c r="T10" s="392"/>
      <c r="U10" s="392"/>
      <c r="V10" s="392"/>
      <c r="W10" s="392"/>
      <c r="X10" s="392"/>
      <c r="Y10" s="392"/>
      <c r="Z10" s="393"/>
      <c r="AA10" s="61"/>
      <c r="AB10" s="61"/>
      <c r="AC10" s="62"/>
      <c r="AD10" s="62"/>
      <c r="AE10" s="62"/>
      <c r="AF10" s="63"/>
      <c r="AG10" s="63"/>
      <c r="AH10" s="63"/>
      <c r="AI10" s="63"/>
      <c r="AJ10" s="63"/>
      <c r="AK10" s="359">
        <f t="shared" si="12"/>
        <v>0</v>
      </c>
      <c r="AL10" s="358"/>
      <c r="AM10" s="359">
        <f t="shared" si="3"/>
        <v>0</v>
      </c>
      <c r="AN10" s="358"/>
      <c r="AO10" s="359">
        <f>IFERROR((VLOOKUP($BP$1&amp;D10,Teams!D:M,8,0)+AH45),0)</f>
        <v>40000</v>
      </c>
      <c r="AP10" s="358"/>
      <c r="AQ10" s="345"/>
      <c r="AR10" s="7">
        <f>IFERROR((IF(AA10&lt;&gt;"",0,((VLOOKUP($BP$1&amp;D10,Teams!D:M,9,0)+(AH45/1000)-(AB45/1000))))),0)</f>
        <v>40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Chaos Dwarf GW9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14" t="s">
        <v>1842</v>
      </c>
      <c r="C11" s="315"/>
      <c r="D11" s="314" t="s">
        <v>1766</v>
      </c>
      <c r="E11" s="341"/>
      <c r="F11" s="341"/>
      <c r="G11" s="315"/>
      <c r="H11" s="18">
        <f>IF(D11="",0,(COUNTIF(D2:G17,D11)))</f>
        <v>4</v>
      </c>
      <c r="I11" s="19" t="s">
        <v>34</v>
      </c>
      <c r="J11" s="20">
        <f>IFERROR((VLOOKUP($BP$1&amp;D11,Teams!D:M,10,0)),0)</f>
        <v>16</v>
      </c>
      <c r="K11" s="21">
        <f t="shared" ref="K11:L11" si="36">IFERROR(L70,0)</f>
        <v>6</v>
      </c>
      <c r="L11" s="21">
        <f t="shared" si="36"/>
        <v>3</v>
      </c>
      <c r="M11" s="21" t="str">
        <f t="shared" ref="M11:O11" si="37">IFERROR(N70&amp;"+",0)</f>
        <v>3+</v>
      </c>
      <c r="N11" s="21" t="str">
        <f t="shared" si="37"/>
        <v>4+</v>
      </c>
      <c r="O11" s="21" t="str">
        <f t="shared" si="37"/>
        <v>8+</v>
      </c>
      <c r="P11" s="391" t="str">
        <f>IFERROR((IF(AW11="YES",(VLOOKUP($BP$1&amp;D11,Teams!D:M,7,0)&amp;BG11),AX11)),"")</f>
        <v xml:space="preserve"> </v>
      </c>
      <c r="Q11" s="392"/>
      <c r="R11" s="392"/>
      <c r="S11" s="392"/>
      <c r="T11" s="392"/>
      <c r="U11" s="392"/>
      <c r="V11" s="392"/>
      <c r="W11" s="392"/>
      <c r="X11" s="392"/>
      <c r="Y11" s="392"/>
      <c r="Z11" s="393"/>
      <c r="AA11" s="61"/>
      <c r="AB11" s="61"/>
      <c r="AC11" s="62"/>
      <c r="AD11" s="62"/>
      <c r="AE11" s="62"/>
      <c r="AF11" s="63"/>
      <c r="AG11" s="63"/>
      <c r="AH11" s="63"/>
      <c r="AI11" s="63"/>
      <c r="AJ11" s="63"/>
      <c r="AK11" s="359">
        <f t="shared" si="12"/>
        <v>0</v>
      </c>
      <c r="AL11" s="358"/>
      <c r="AM11" s="359">
        <f t="shared" si="3"/>
        <v>0</v>
      </c>
      <c r="AN11" s="358"/>
      <c r="AO11" s="359">
        <f>IFERROR((VLOOKUP($BP$1&amp;D11,Teams!D:M,8,0)+AH46),0)</f>
        <v>40000</v>
      </c>
      <c r="AP11" s="358"/>
      <c r="AQ11" s="345"/>
      <c r="AR11" s="7">
        <f>IFERROR((IF(AA11&lt;&gt;"",0,((VLOOKUP($BP$1&amp;D11,Teams!D:M,9,0)+(AH46/1000)-(AB46/1000))))),0)</f>
        <v>40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Chaos Dwarf GW10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14" t="s">
        <v>1843</v>
      </c>
      <c r="C12" s="315"/>
      <c r="D12" s="314" t="s">
        <v>1766</v>
      </c>
      <c r="E12" s="341"/>
      <c r="F12" s="341"/>
      <c r="G12" s="315"/>
      <c r="H12" s="18">
        <f>IF(D12="",0,(COUNTIF(D2:G17,D12)))</f>
        <v>4</v>
      </c>
      <c r="I12" s="19" t="s">
        <v>34</v>
      </c>
      <c r="J12" s="20">
        <f>IFERROR((VLOOKUP($BP$1&amp;D12,Teams!D:M,10,0)),0)</f>
        <v>16</v>
      </c>
      <c r="K12" s="21">
        <f t="shared" ref="K12:L12" si="38">IFERROR(L71,0)</f>
        <v>6</v>
      </c>
      <c r="L12" s="21">
        <f t="shared" si="38"/>
        <v>3</v>
      </c>
      <c r="M12" s="21" t="str">
        <f t="shared" ref="M12:O12" si="39">IFERROR(N71&amp;"+",0)</f>
        <v>3+</v>
      </c>
      <c r="N12" s="21" t="str">
        <f t="shared" si="39"/>
        <v>4+</v>
      </c>
      <c r="O12" s="21" t="str">
        <f t="shared" si="39"/>
        <v>8+</v>
      </c>
      <c r="P12" s="391" t="str">
        <f>IFERROR((IF(AW12="YES",(VLOOKUP($BP$1&amp;D12,Teams!D:M,7,0)&amp;BG12),AX12)),"")</f>
        <v xml:space="preserve"> </v>
      </c>
      <c r="Q12" s="392"/>
      <c r="R12" s="392"/>
      <c r="S12" s="392"/>
      <c r="T12" s="392"/>
      <c r="U12" s="392"/>
      <c r="V12" s="392"/>
      <c r="W12" s="392"/>
      <c r="X12" s="392"/>
      <c r="Y12" s="392"/>
      <c r="Z12" s="393"/>
      <c r="AA12" s="61"/>
      <c r="AB12" s="61"/>
      <c r="AC12" s="62"/>
      <c r="AD12" s="62"/>
      <c r="AE12" s="62"/>
      <c r="AF12" s="63"/>
      <c r="AG12" s="63"/>
      <c r="AH12" s="63"/>
      <c r="AI12" s="63"/>
      <c r="AJ12" s="63"/>
      <c r="AK12" s="359">
        <f t="shared" si="12"/>
        <v>0</v>
      </c>
      <c r="AL12" s="358"/>
      <c r="AM12" s="359">
        <f t="shared" si="3"/>
        <v>0</v>
      </c>
      <c r="AN12" s="358"/>
      <c r="AO12" s="359">
        <f>IFERROR((VLOOKUP($BP$1&amp;D12,Teams!D:M,8,0)+AH47),0)</f>
        <v>40000</v>
      </c>
      <c r="AP12" s="358"/>
      <c r="AQ12" s="345"/>
      <c r="AR12" s="7">
        <f>IFERROR((IF(AA12&lt;&gt;"",0,((VLOOKUP($BP$1&amp;D12,Teams!D:M,9,0)+(AH47/1000)-(AB47/1000))))),0)</f>
        <v>40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Chaos Dwarf GW11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14" t="s">
        <v>1840</v>
      </c>
      <c r="C13" s="315"/>
      <c r="D13" s="314" t="s">
        <v>1766</v>
      </c>
      <c r="E13" s="341"/>
      <c r="F13" s="341"/>
      <c r="G13" s="315"/>
      <c r="H13" s="18">
        <f>IF(D13="",0,(COUNTIF(D2:G17,D13)))</f>
        <v>4</v>
      </c>
      <c r="I13" s="19" t="s">
        <v>34</v>
      </c>
      <c r="J13" s="20">
        <f>IFERROR((VLOOKUP($BP$1&amp;D13,Teams!D:M,10,0)),0)</f>
        <v>16</v>
      </c>
      <c r="K13" s="21">
        <f t="shared" ref="K13:L13" si="40">IFERROR(L72,0)</f>
        <v>6</v>
      </c>
      <c r="L13" s="21">
        <f t="shared" si="40"/>
        <v>3</v>
      </c>
      <c r="M13" s="21" t="str">
        <f t="shared" ref="M13:O13" si="41">IFERROR(N72&amp;"+",0)</f>
        <v>3+</v>
      </c>
      <c r="N13" s="21" t="str">
        <f t="shared" si="41"/>
        <v>4+</v>
      </c>
      <c r="O13" s="21" t="str">
        <f t="shared" si="41"/>
        <v>8+</v>
      </c>
      <c r="P13" s="391" t="str">
        <f>IFERROR((IF(AW13="YES",(VLOOKUP($BP$1&amp;D13,Teams!D:M,7,0)&amp;BG13),AX13)),"")</f>
        <v xml:space="preserve"> </v>
      </c>
      <c r="Q13" s="392"/>
      <c r="R13" s="392"/>
      <c r="S13" s="392"/>
      <c r="T13" s="392"/>
      <c r="U13" s="392"/>
      <c r="V13" s="392"/>
      <c r="W13" s="392"/>
      <c r="X13" s="392"/>
      <c r="Y13" s="392"/>
      <c r="Z13" s="393"/>
      <c r="AA13" s="61"/>
      <c r="AB13" s="61"/>
      <c r="AC13" s="62"/>
      <c r="AD13" s="62"/>
      <c r="AE13" s="62"/>
      <c r="AF13" s="63"/>
      <c r="AG13" s="63">
        <v>1</v>
      </c>
      <c r="AH13" s="63"/>
      <c r="AI13" s="63"/>
      <c r="AJ13" s="63"/>
      <c r="AK13" s="359">
        <f t="shared" si="12"/>
        <v>2</v>
      </c>
      <c r="AL13" s="358"/>
      <c r="AM13" s="359">
        <f t="shared" si="3"/>
        <v>2</v>
      </c>
      <c r="AN13" s="358"/>
      <c r="AO13" s="359">
        <f>IFERROR((VLOOKUP($BP$1&amp;D13,Teams!D:M,8,0)+AH48),0)</f>
        <v>40000</v>
      </c>
      <c r="AP13" s="358"/>
      <c r="AQ13" s="345"/>
      <c r="AR13" s="7">
        <f>IFERROR((IF(AA13&lt;&gt;"",0,((VLOOKUP($BP$1&amp;D13,Teams!D:M,9,0)+(AH48/1000)-(AB48/1000))))),0)</f>
        <v>40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Chaos Dwarf GW12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14" t="s">
        <v>1851</v>
      </c>
      <c r="C14" s="315"/>
      <c r="D14" s="314" t="s">
        <v>330</v>
      </c>
      <c r="E14" s="341"/>
      <c r="F14" s="341"/>
      <c r="G14" s="315"/>
      <c r="H14" s="18">
        <f>IF(D14="",0,(COUNTIF(D2:G17,D14)))</f>
        <v>1</v>
      </c>
      <c r="I14" s="19" t="s">
        <v>34</v>
      </c>
      <c r="J14" s="20">
        <f>IFERROR((VLOOKUP($BP$1&amp;D14,Teams!D:M,10,0)),0)</f>
        <v>1</v>
      </c>
      <c r="K14" s="21">
        <f t="shared" ref="K14:L14" si="42">IFERROR(L73,0)</f>
        <v>5</v>
      </c>
      <c r="L14" s="21">
        <f t="shared" si="42"/>
        <v>5</v>
      </c>
      <c r="M14" s="21" t="str">
        <f t="shared" ref="M14:O14" si="43">IFERROR(N73&amp;"+",0)</f>
        <v>4+</v>
      </c>
      <c r="N14" s="21" t="str">
        <f t="shared" si="43"/>
        <v>0+</v>
      </c>
      <c r="O14" s="21" t="str">
        <f t="shared" si="43"/>
        <v>9+</v>
      </c>
      <c r="P14" s="391" t="str">
        <f>IFERROR((IF(AW14="YES",(VLOOKUP($BP$1&amp;D14,Teams!D:M,7,0)&amp;BG14),AX14)),"")</f>
        <v>Frenzy, Horns, Mighty Blow (+1), Thick Skull, Unchannelled Fury</v>
      </c>
      <c r="Q14" s="392"/>
      <c r="R14" s="392"/>
      <c r="S14" s="392"/>
      <c r="T14" s="392"/>
      <c r="U14" s="392"/>
      <c r="V14" s="392"/>
      <c r="W14" s="392"/>
      <c r="X14" s="392"/>
      <c r="Y14" s="392"/>
      <c r="Z14" s="393"/>
      <c r="AA14" s="61"/>
      <c r="AB14" s="61"/>
      <c r="AC14" s="62"/>
      <c r="AD14" s="62"/>
      <c r="AE14" s="62"/>
      <c r="AF14" s="63"/>
      <c r="AG14" s="63"/>
      <c r="AH14" s="63"/>
      <c r="AI14" s="63"/>
      <c r="AJ14" s="63"/>
      <c r="AK14" s="359">
        <f t="shared" si="12"/>
        <v>0</v>
      </c>
      <c r="AL14" s="358"/>
      <c r="AM14" s="359">
        <f t="shared" si="3"/>
        <v>0</v>
      </c>
      <c r="AN14" s="358"/>
      <c r="AO14" s="359">
        <f>IFERROR((VLOOKUP($BP$1&amp;D14,Teams!D:M,8,0)+AH49),0)</f>
        <v>150000</v>
      </c>
      <c r="AP14" s="358"/>
      <c r="AQ14" s="345"/>
      <c r="AR14" s="7">
        <f>IFERROR((IF(AA14&lt;&gt;"",0,((VLOOKUP($BP$1&amp;D14,Teams!D:M,9,0)+(AH49/1000)-(AB49/1000))))),0)</f>
        <v>150</v>
      </c>
      <c r="AS14" s="8">
        <f>IFERROR((VLOOKUP($BP$1&amp;D14,Teams!D:N,11,0)),0)</f>
        <v>1</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Chaos Dwarf GW13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14"/>
      <c r="C15" s="315"/>
      <c r="D15" s="314"/>
      <c r="E15" s="341"/>
      <c r="F15" s="341"/>
      <c r="G15" s="315"/>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91" t="str">
        <f>IFERROR((IF(AW15="YES",(VLOOKUP($BP$1&amp;D15,Teams!D:M,7,0)&amp;BG15),AX15)),"")</f>
        <v>0</v>
      </c>
      <c r="Q15" s="392"/>
      <c r="R15" s="392"/>
      <c r="S15" s="392"/>
      <c r="T15" s="392"/>
      <c r="U15" s="392"/>
      <c r="V15" s="392"/>
      <c r="W15" s="392"/>
      <c r="X15" s="392"/>
      <c r="Y15" s="392"/>
      <c r="Z15" s="393"/>
      <c r="AA15" s="61"/>
      <c r="AB15" s="61"/>
      <c r="AC15" s="62"/>
      <c r="AD15" s="62"/>
      <c r="AE15" s="62"/>
      <c r="AF15" s="63"/>
      <c r="AG15" s="63"/>
      <c r="AH15" s="63"/>
      <c r="AI15" s="63"/>
      <c r="AJ15" s="63"/>
      <c r="AK15" s="359">
        <f t="shared" si="12"/>
        <v>0</v>
      </c>
      <c r="AL15" s="358"/>
      <c r="AM15" s="359">
        <f t="shared" si="3"/>
        <v>0</v>
      </c>
      <c r="AN15" s="358"/>
      <c r="AO15" s="359">
        <f>IFERROR((VLOOKUP($BP$1&amp;D15,Teams!D:M,8,0)+AH50),0)</f>
        <v>0</v>
      </c>
      <c r="AP15" s="358"/>
      <c r="AQ15" s="345"/>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14"/>
      <c r="C16" s="315"/>
      <c r="D16" s="314"/>
      <c r="E16" s="341"/>
      <c r="F16" s="341"/>
      <c r="G16" s="315"/>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91" t="str">
        <f>IFERROR((IF(AW16="YES",(VLOOKUP($BP$1&amp;D16,Teams!D:M,7,0)&amp;BG16),AX16)),"")</f>
        <v>0</v>
      </c>
      <c r="Q16" s="392"/>
      <c r="R16" s="392"/>
      <c r="S16" s="392"/>
      <c r="T16" s="392"/>
      <c r="U16" s="392"/>
      <c r="V16" s="392"/>
      <c r="W16" s="392"/>
      <c r="X16" s="392"/>
      <c r="Y16" s="392"/>
      <c r="Z16" s="393"/>
      <c r="AA16" s="61"/>
      <c r="AB16" s="61"/>
      <c r="AC16" s="62"/>
      <c r="AD16" s="62"/>
      <c r="AE16" s="62"/>
      <c r="AF16" s="63"/>
      <c r="AG16" s="63"/>
      <c r="AH16" s="63"/>
      <c r="AI16" s="63"/>
      <c r="AJ16" s="63"/>
      <c r="AK16" s="359">
        <f t="shared" si="12"/>
        <v>0</v>
      </c>
      <c r="AL16" s="358"/>
      <c r="AM16" s="359">
        <f t="shared" si="3"/>
        <v>0</v>
      </c>
      <c r="AN16" s="358"/>
      <c r="AO16" s="359">
        <f>IFERROR((VLOOKUP($BP$1&amp;D16,Teams!D:M,8,0)+AH51),0)</f>
        <v>0</v>
      </c>
      <c r="AP16" s="358"/>
      <c r="AQ16" s="345"/>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14"/>
      <c r="C17" s="315"/>
      <c r="D17" s="314"/>
      <c r="E17" s="341"/>
      <c r="F17" s="341"/>
      <c r="G17" s="315"/>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91" t="str">
        <f>IFERROR((IF(AW17="YES",(VLOOKUP($BP$1&amp;D17,Teams!D:M,7,0)&amp;BG17),AX17)),"")</f>
        <v>0</v>
      </c>
      <c r="Q17" s="392"/>
      <c r="R17" s="392"/>
      <c r="S17" s="392"/>
      <c r="T17" s="392"/>
      <c r="U17" s="392"/>
      <c r="V17" s="392"/>
      <c r="W17" s="392"/>
      <c r="X17" s="392"/>
      <c r="Y17" s="392"/>
      <c r="Z17" s="393"/>
      <c r="AA17" s="61"/>
      <c r="AB17" s="61"/>
      <c r="AC17" s="62"/>
      <c r="AD17" s="62"/>
      <c r="AE17" s="62"/>
      <c r="AF17" s="63"/>
      <c r="AG17" s="63"/>
      <c r="AH17" s="63"/>
      <c r="AI17" s="63"/>
      <c r="AJ17" s="63"/>
      <c r="AK17" s="359">
        <f>AB17+AC17+(AD17*3)+AE17+(AF17*2)+(AG17*2)+(AH17*2)+(AI17*2)+(AJ17*4)</f>
        <v>0</v>
      </c>
      <c r="AL17" s="358"/>
      <c r="AM17" s="359">
        <f>AK17-AJ52</f>
        <v>0</v>
      </c>
      <c r="AN17" s="358"/>
      <c r="AO17" s="359">
        <f>IFERROR((VLOOKUP($BP$1&amp;D17,Teams!D:M,8,0)+AH52),0)</f>
        <v>0</v>
      </c>
      <c r="AP17" s="358"/>
      <c r="AQ17" s="345"/>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16" t="str">
        <f>IF($K$25="Italiano","Star Player &amp; Mercenario",(IF($K$25="Español","Jugadores Estrella &amp; Mercenario",(IF($K$25="Français","Star Player &amp; Mercenaire",(IF($K$25="Deutsch","Starspielers &amp; Mercenary","Star Player &amp; Mercenary")))))))</f>
        <v>Star Player &amp; Mercenary</v>
      </c>
      <c r="C18" s="317"/>
      <c r="D18" s="318"/>
      <c r="E18" s="319"/>
      <c r="F18" s="319"/>
      <c r="G18" s="320"/>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56">
        <f>IFERROR((IF(H18&gt;J18,AT18,VLOOKUP(D18,StarPlayers!B:K,7,0))),0)</f>
        <v>0</v>
      </c>
      <c r="Q18" s="357"/>
      <c r="R18" s="357"/>
      <c r="S18" s="357"/>
      <c r="T18" s="357"/>
      <c r="U18" s="357"/>
      <c r="V18" s="357"/>
      <c r="W18" s="357"/>
      <c r="X18" s="357"/>
      <c r="Y18" s="357"/>
      <c r="Z18" s="358"/>
      <c r="AA18" s="356">
        <f>IFERROR((IF(H18&gt;J18,AT18,VLOOKUP(D18,StarPlayers!B:K,8,0))),0)</f>
        <v>0</v>
      </c>
      <c r="AB18" s="357"/>
      <c r="AC18" s="357"/>
      <c r="AD18" s="357"/>
      <c r="AE18" s="357"/>
      <c r="AF18" s="357"/>
      <c r="AG18" s="357"/>
      <c r="AH18" s="357"/>
      <c r="AI18" s="357"/>
      <c r="AJ18" s="357"/>
      <c r="AK18" s="357"/>
      <c r="AL18" s="357"/>
      <c r="AM18" s="357"/>
      <c r="AN18" s="358"/>
      <c r="AO18" s="359">
        <f>IFERROR((VLOOKUP(D18,StarPlayers!B:K,9,0)),0)</f>
        <v>0</v>
      </c>
      <c r="AP18" s="358"/>
      <c r="AQ18" s="345"/>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8"/>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16" t="str">
        <f>IF($K$25="Italiano","Star Player &amp; Mercenario",(IF($K$25="Español","Jugadores Estrella &amp; Mercenario",(IF($K$25="Français","Star Player &amp; Mercenaire",(IF($K$25="Deutsch","Starspielers &amp; Mercenary","Star Player &amp; Mercenary")))))))</f>
        <v>Star Player &amp; Mercenary</v>
      </c>
      <c r="C19" s="317"/>
      <c r="D19" s="318"/>
      <c r="E19" s="319"/>
      <c r="F19" s="319"/>
      <c r="G19" s="320"/>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56">
        <f>IFERROR((IF(H19&gt;J19,AT19,VLOOKUP(D19,StarPlayers!B:K,7,0))),0)</f>
        <v>0</v>
      </c>
      <c r="Q19" s="357"/>
      <c r="R19" s="357"/>
      <c r="S19" s="357"/>
      <c r="T19" s="357"/>
      <c r="U19" s="357"/>
      <c r="V19" s="357"/>
      <c r="W19" s="357"/>
      <c r="X19" s="357"/>
      <c r="Y19" s="357"/>
      <c r="Z19" s="358"/>
      <c r="AA19" s="356">
        <f>IFERROR((IF(H19&gt;J19,AT19,VLOOKUP(D19,StarPlayers!B:K,8,0))),0)</f>
        <v>0</v>
      </c>
      <c r="AB19" s="357"/>
      <c r="AC19" s="357"/>
      <c r="AD19" s="357"/>
      <c r="AE19" s="357"/>
      <c r="AF19" s="357"/>
      <c r="AG19" s="357"/>
      <c r="AH19" s="357"/>
      <c r="AI19" s="357"/>
      <c r="AJ19" s="357"/>
      <c r="AK19" s="357"/>
      <c r="AL19" s="357"/>
      <c r="AM19" s="357"/>
      <c r="AN19" s="358"/>
      <c r="AO19" s="359">
        <f>IFERROR((VLOOKUP(D19,StarPlayers!B:K,9,0)),0)</f>
        <v>0</v>
      </c>
      <c r="AP19" s="358"/>
      <c r="AQ19" s="345"/>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16" t="str">
        <f>IF($K$25="Italiano","Mercenario",(IF($K$25="Español","Mercenario",(IF($K$25="Français","Mercenaire","Mercenary")))))</f>
        <v>Mercenary</v>
      </c>
      <c r="C20" s="317"/>
      <c r="D20" s="318"/>
      <c r="E20" s="319"/>
      <c r="F20" s="319"/>
      <c r="G20" s="320"/>
      <c r="H20" s="265">
        <f>IF(D20=" ",0,(COUNTIF(D18:G20,D20)))</f>
        <v>0</v>
      </c>
      <c r="I20" s="266" t="s">
        <v>34</v>
      </c>
      <c r="J20" s="267">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56">
        <f>IFERROR((IF(H20&gt;J20,AT20,VLOOKUP(D20,StarPlayers!B:K,7,0))),0)</f>
        <v>0</v>
      </c>
      <c r="Q20" s="357"/>
      <c r="R20" s="357"/>
      <c r="S20" s="357"/>
      <c r="T20" s="357"/>
      <c r="U20" s="357"/>
      <c r="V20" s="357"/>
      <c r="W20" s="357"/>
      <c r="X20" s="357"/>
      <c r="Y20" s="357"/>
      <c r="Z20" s="358"/>
      <c r="AA20" s="356">
        <f>IFERROR((IF(H20&gt;J20,AT20,VLOOKUP(D20,StarPlayers!B:K,8,0))),0)</f>
        <v>0</v>
      </c>
      <c r="AB20" s="357"/>
      <c r="AC20" s="357"/>
      <c r="AD20" s="357"/>
      <c r="AE20" s="357"/>
      <c r="AF20" s="357"/>
      <c r="AG20" s="357"/>
      <c r="AH20" s="357"/>
      <c r="AI20" s="357"/>
      <c r="AJ20" s="357"/>
      <c r="AK20" s="357"/>
      <c r="AL20" s="357"/>
      <c r="AM20" s="357"/>
      <c r="AN20" s="358"/>
      <c r="AO20" s="359">
        <f>IFERROR((VLOOKUP(D20,StarPlayers!B:K,9,0)),0)</f>
        <v>0</v>
      </c>
      <c r="AP20" s="358"/>
      <c r="AQ20" s="345"/>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23"/>
      <c r="B21" s="324"/>
      <c r="C21" s="324"/>
      <c r="D21" s="342" t="str">
        <f>IF($K$25="Español","ESPÓNSOR","SPONSORS")</f>
        <v>SPONSORS</v>
      </c>
      <c r="E21" s="343"/>
      <c r="F21" s="343"/>
      <c r="G21" s="343"/>
      <c r="H21" s="343"/>
      <c r="I21" s="343"/>
      <c r="J21" s="343"/>
      <c r="K21" s="407" t="s">
        <v>126</v>
      </c>
      <c r="L21" s="364"/>
      <c r="M21" s="364"/>
      <c r="N21" s="364"/>
      <c r="O21" s="364"/>
      <c r="P21" s="364"/>
      <c r="Q21" s="364"/>
      <c r="R21" s="365"/>
      <c r="S21" s="373" t="str">
        <f>IF($K$25="Italiano","TIFOSI SFEGATAZI INIZIALI",(IF($K$25="Español","FANS DEVOTOS INICIALES",(IF($K$25="Deutsch","INITIAL TREUE FANS",(IF($K$25="Français","FANS DÉVOUÉS INITIAUX","INITIAL DEDICATED FANS")))))))</f>
        <v>INITIAL DEDICATED FANS</v>
      </c>
      <c r="T21" s="301"/>
      <c r="U21" s="301"/>
      <c r="V21" s="301"/>
      <c r="W21" s="302"/>
      <c r="X21" s="65">
        <v>1</v>
      </c>
      <c r="Y21" s="31" t="s">
        <v>127</v>
      </c>
      <c r="Z21" s="369">
        <v>10000</v>
      </c>
      <c r="AA21" s="370"/>
      <c r="AB21" s="32" t="str">
        <f t="shared" ref="AB21:AB31" si="51">IF($K$25="Español","mo",(IF($K$25="Deutsch","gm",(IF($K$25="Français","po","gp")))))</f>
        <v>gp</v>
      </c>
      <c r="AC21" s="371">
        <f>IFERROR(((IF(X21=0,0,(IF(X21=1,0,X21-1))))*Z21),0)</f>
        <v>0</v>
      </c>
      <c r="AD21" s="302"/>
      <c r="AE21" s="373" t="str">
        <f>IF($K$25="Italiano","REROLLS TOTALI",(IF($K$25="Español","SEGUNDAS OPORTUNIDADES TOTALES",(IF($K$25="Deutsch","TOTAL WIEDERHOLUNGSWÜRFE",(IF($K$25="Français","RELANCES TOTALES","TOTAL REROLLS")))))))</f>
        <v>TOTAL REROLLS</v>
      </c>
      <c r="AF21" s="301"/>
      <c r="AG21" s="301"/>
      <c r="AH21" s="301"/>
      <c r="AI21" s="302"/>
      <c r="AJ21" s="408">
        <f>AJ22+AJ23</f>
        <v>3</v>
      </c>
      <c r="AK21" s="301"/>
      <c r="AL21" s="301"/>
      <c r="AM21" s="301"/>
      <c r="AN21" s="301"/>
      <c r="AO21" s="301"/>
      <c r="AP21" s="302"/>
      <c r="AQ21" s="345"/>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25"/>
      <c r="B22" s="326"/>
      <c r="C22" s="326"/>
      <c r="D22" s="342" t="str">
        <f>IF($K$25="Italiano","STADIO",(IF($K$25="Español","ESTADIO",(IF($K$25="Deutsch","STADION",(IF($K$25="Français","STADE","STADIUM")))))))</f>
        <v>STADIUM</v>
      </c>
      <c r="E22" s="343"/>
      <c r="F22" s="343"/>
      <c r="G22" s="343"/>
      <c r="H22" s="343"/>
      <c r="I22" s="343"/>
      <c r="J22" s="343"/>
      <c r="K22" s="407" t="s">
        <v>1349</v>
      </c>
      <c r="L22" s="364"/>
      <c r="M22" s="364"/>
      <c r="N22" s="364"/>
      <c r="O22" s="364"/>
      <c r="P22" s="364"/>
      <c r="Q22" s="364"/>
      <c r="R22" s="365"/>
      <c r="S22" s="373"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301"/>
      <c r="U22" s="301"/>
      <c r="V22" s="301"/>
      <c r="W22" s="302"/>
      <c r="X22" s="65">
        <v>0</v>
      </c>
      <c r="Y22" s="31" t="s">
        <v>127</v>
      </c>
      <c r="Z22" s="369">
        <f>IFERROR(IF(OR(BP1="Necromantic",BP1="Shambling Undead",BP1="Nurgle"),100000,(VLOOKUP(BP1,BM:BR,6,0))),0)</f>
        <v>50000</v>
      </c>
      <c r="AA22" s="370"/>
      <c r="AB22" s="32" t="str">
        <f t="shared" si="51"/>
        <v>gp</v>
      </c>
      <c r="AC22" s="371">
        <f>IFERROR(X22*Z22,0)</f>
        <v>0</v>
      </c>
      <c r="AD22" s="302"/>
      <c r="AE22" s="373" t="str">
        <f>IF($K$25="Italiano","REROLLS INIZIALI",(IF($K$25="Español","SEGUNDAS OPORTUNIDADES INICIALES",(IF($K$25="Deutsch","INITIAL WIEDERHOLUNGSWÜRFE",(IF($K$25="Français","RELANCES INITIALES","INITIAL REROLLS")))))))</f>
        <v>INITIAL REROLLS</v>
      </c>
      <c r="AF22" s="301"/>
      <c r="AG22" s="301"/>
      <c r="AH22" s="301"/>
      <c r="AI22" s="302"/>
      <c r="AJ22" s="65">
        <v>3</v>
      </c>
      <c r="AK22" s="31" t="s">
        <v>127</v>
      </c>
      <c r="AL22" s="369">
        <f>IFERROR(VLOOKUP(BP1,BM:BQ,5,0),0)</f>
        <v>70000</v>
      </c>
      <c r="AM22" s="370"/>
      <c r="AN22" s="33" t="str">
        <f t="shared" ref="AN22:AN31" si="52">IF($K$25="Español","mo",(IF($K$25="Deutsch","gm",(IF($K$25="Français","po","gp")))))</f>
        <v>gp</v>
      </c>
      <c r="AO22" s="371">
        <f t="shared" ref="AO22:AO31" si="53">IFERROR(AJ22*AL22,0)</f>
        <v>210000</v>
      </c>
      <c r="AP22" s="302"/>
      <c r="AQ22" s="345"/>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25"/>
      <c r="B23" s="326"/>
      <c r="C23" s="326"/>
      <c r="D23" s="342" t="str">
        <f>IF($K$25="Italiano","RAZZA",(IF($K$25="Español","RAZA",(IF($K$25="Deutsch","RASSE",(IF($K$25="Français","TYPE D’ÉQUIPE","RACE")))))))</f>
        <v>RACE</v>
      </c>
      <c r="E23" s="343"/>
      <c r="F23" s="343"/>
      <c r="G23" s="343"/>
      <c r="H23" s="343"/>
      <c r="I23" s="343"/>
      <c r="J23" s="343"/>
      <c r="K23" s="394" t="s">
        <v>1765</v>
      </c>
      <c r="L23" s="364"/>
      <c r="M23" s="364"/>
      <c r="N23" s="364"/>
      <c r="O23" s="364"/>
      <c r="P23" s="364"/>
      <c r="Q23" s="364"/>
      <c r="R23" s="365"/>
      <c r="S23" s="373" t="str">
        <f>IF($K$25="Español","ANIMADORAS",(IF($K$25="Deutsch","CHEERLEADER","CHEERLEADERS")))</f>
        <v>CHEERLEADERS</v>
      </c>
      <c r="T23" s="301"/>
      <c r="U23" s="301"/>
      <c r="V23" s="301"/>
      <c r="W23" s="302"/>
      <c r="X23" s="65">
        <v>0</v>
      </c>
      <c r="Y23" s="31" t="s">
        <v>127</v>
      </c>
      <c r="Z23" s="369">
        <v>10000</v>
      </c>
      <c r="AA23" s="370"/>
      <c r="AB23" s="32" t="str">
        <f t="shared" si="51"/>
        <v>gp</v>
      </c>
      <c r="AC23" s="371">
        <f t="shared" ref="AC23:AC31" si="54">IFERROR(X23*Z23,0)</f>
        <v>0</v>
      </c>
      <c r="AD23" s="302"/>
      <c r="AE23" s="373" t="str">
        <f>IF($K$25="Italiano","REROLLS ACQUISITI",(IF($K$25="Español","SEGUNDAS OPORTUNIDADES ADQUIRIDAS",(IF($K$25="Deutsch","GEKAUFTE WIEDERHOLUNGSWÜRFE",(IF($K$25="Français","RELANCES ACHETÉES","ACQUIRED REROLLS")))))))</f>
        <v>ACQUIRED REROLLS</v>
      </c>
      <c r="AF23" s="301"/>
      <c r="AG23" s="301"/>
      <c r="AH23" s="301"/>
      <c r="AI23" s="302"/>
      <c r="AJ23" s="65">
        <v>0</v>
      </c>
      <c r="AK23" s="31" t="s">
        <v>127</v>
      </c>
      <c r="AL23" s="369">
        <f>IFERROR((VLOOKUP(BP1,BM:BQ,5,0))*2,0)</f>
        <v>140000</v>
      </c>
      <c r="AM23" s="370"/>
      <c r="AN23" s="33" t="str">
        <f t="shared" si="52"/>
        <v>gp</v>
      </c>
      <c r="AO23" s="371">
        <f t="shared" si="53"/>
        <v>0</v>
      </c>
      <c r="AP23" s="302"/>
      <c r="AQ23" s="345"/>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25"/>
      <c r="B24" s="326"/>
      <c r="C24" s="326"/>
      <c r="D24" s="342" t="str">
        <f>IF($K$25="Italiano","ALLENATORE CAPO",(IF($K$25="Español","ENTRENADOR",(IF($K$25="Deutsch","CHEFTRAINER",(IF($K$25="Français","COACH","HEAD COACH")))))))</f>
        <v>HEAD COACH</v>
      </c>
      <c r="E24" s="343"/>
      <c r="F24" s="343"/>
      <c r="G24" s="343"/>
      <c r="H24" s="343"/>
      <c r="I24" s="343"/>
      <c r="J24" s="343"/>
      <c r="K24" s="366" t="s">
        <v>1831</v>
      </c>
      <c r="L24" s="367"/>
      <c r="M24" s="367"/>
      <c r="N24" s="367"/>
      <c r="O24" s="367"/>
      <c r="P24" s="367"/>
      <c r="Q24" s="367"/>
      <c r="R24" s="368"/>
      <c r="S24" s="373" t="str">
        <f>IF($K$25="Italiano","ASSISTENTI ALLENATORI",(IF($K$25="Español","AYUDANTES ENTRENADOR",(IF($K$25="Deutsch","TRAINERASSISTENTEN",(IF($K$25="Français","COACHS ASSIST","ASSISTANT COACHES")))))))</f>
        <v>ASSISTANT COACHES</v>
      </c>
      <c r="T24" s="301"/>
      <c r="U24" s="301"/>
      <c r="V24" s="301"/>
      <c r="W24" s="302"/>
      <c r="X24" s="65">
        <v>0</v>
      </c>
      <c r="Y24" s="31" t="s">
        <v>127</v>
      </c>
      <c r="Z24" s="369">
        <v>10000</v>
      </c>
      <c r="AA24" s="370"/>
      <c r="AB24" s="32" t="str">
        <f t="shared" si="51"/>
        <v>gp</v>
      </c>
      <c r="AC24" s="371">
        <f t="shared" si="54"/>
        <v>0</v>
      </c>
      <c r="AD24" s="302"/>
      <c r="AE24" s="372" t="str">
        <f>IF($K$25="Italiano","MAGO DEL CLIMA",(IF($K$25="Español","MAGO DEL TIEMPO",(IF($K$25="Deutsch","WETTERMAGIER",(IF($K$25="Français","MAGE MÉTÉO","WEATHER MAGE")))))))</f>
        <v>WEATHER MAGE</v>
      </c>
      <c r="AF24" s="301"/>
      <c r="AG24" s="301"/>
      <c r="AH24" s="301"/>
      <c r="AI24" s="302"/>
      <c r="AJ24" s="65">
        <v>0</v>
      </c>
      <c r="AK24" s="31" t="s">
        <v>127</v>
      </c>
      <c r="AL24" s="369">
        <v>30000</v>
      </c>
      <c r="AM24" s="370"/>
      <c r="AN24" s="32" t="str">
        <f t="shared" si="52"/>
        <v>gp</v>
      </c>
      <c r="AO24" s="371">
        <f t="shared" si="53"/>
        <v>0</v>
      </c>
      <c r="AP24" s="302"/>
      <c r="AQ24" s="345"/>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25"/>
      <c r="B25" s="326"/>
      <c r="C25" s="326"/>
      <c r="D25" s="342" t="str">
        <f>IF($K$25="Italiano","LINGUA",(IF($K$25="Español","IDIOMA",(IF($K$25="Deutsch","SPRACHE",(IF($K$25="Français","LANGUE","LANGUAGE")))))))</f>
        <v>LANGUAGE</v>
      </c>
      <c r="E25" s="343"/>
      <c r="F25" s="343"/>
      <c r="G25" s="343"/>
      <c r="H25" s="343"/>
      <c r="I25" s="343"/>
      <c r="J25" s="343"/>
      <c r="K25" s="363" t="s">
        <v>148</v>
      </c>
      <c r="L25" s="364"/>
      <c r="M25" s="364"/>
      <c r="N25" s="364"/>
      <c r="O25" s="364"/>
      <c r="P25" s="364"/>
      <c r="Q25" s="364"/>
      <c r="R25" s="365"/>
      <c r="S25" s="372" t="str">
        <f>IF($K$25="Italiano","FUSTI DI BLOODWEISER",(IF($K$25="Español","BARRILES BLOODWEISER",(IF($K$25="Français","FÛTS DE BLOODWEISER","BLOODWEISER KEGS")))))</f>
        <v>BLOODWEISER KEGS</v>
      </c>
      <c r="T25" s="301"/>
      <c r="U25" s="301"/>
      <c r="V25" s="301"/>
      <c r="W25" s="302"/>
      <c r="X25" s="65">
        <v>0</v>
      </c>
      <c r="Y25" s="31" t="s">
        <v>127</v>
      </c>
      <c r="Z25" s="369">
        <v>50000</v>
      </c>
      <c r="AA25" s="370"/>
      <c r="AB25" s="32" t="str">
        <f t="shared" si="51"/>
        <v>gp</v>
      </c>
      <c r="AC25" s="371">
        <f t="shared" si="54"/>
        <v>0</v>
      </c>
      <c r="AD25" s="302"/>
      <c r="AE25" s="378" t="s">
        <v>149</v>
      </c>
      <c r="AF25" s="364"/>
      <c r="AG25" s="364"/>
      <c r="AH25" s="364"/>
      <c r="AI25" s="365"/>
      <c r="AJ25" s="65">
        <v>0</v>
      </c>
      <c r="AK25" s="31" t="s">
        <v>127</v>
      </c>
      <c r="AL25" s="369">
        <f>IFERROR((VLOOKUP(AE25,BI59:BJ85,2,FALSE)),0)</f>
        <v>0</v>
      </c>
      <c r="AM25" s="370"/>
      <c r="AN25" s="32" t="str">
        <f t="shared" si="52"/>
        <v>gp</v>
      </c>
      <c r="AO25" s="371">
        <f t="shared" si="53"/>
        <v>0</v>
      </c>
      <c r="AP25" s="302"/>
      <c r="AQ25" s="345"/>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89"/>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25"/>
      <c r="B26" s="326"/>
      <c r="C26" s="326"/>
      <c r="D26" s="342" t="str">
        <f>IF($K$25="Italiano","NOME SQUADRA",(IF($K$25="Español","NOMBRE DEL EQUIPO",(IF($K$25="Français","NOM D’ÉQUIPE","TEAM NAME")))))</f>
        <v>TEAM NAME</v>
      </c>
      <c r="E26" s="343"/>
      <c r="F26" s="343"/>
      <c r="G26" s="343"/>
      <c r="H26" s="343"/>
      <c r="I26" s="343"/>
      <c r="J26" s="343"/>
      <c r="K26" s="409" t="s">
        <v>1832</v>
      </c>
      <c r="L26" s="410"/>
      <c r="M26" s="410"/>
      <c r="N26" s="410"/>
      <c r="O26" s="410"/>
      <c r="P26" s="410"/>
      <c r="Q26" s="410"/>
      <c r="R26" s="411"/>
      <c r="S26" s="373" t="str">
        <f>IF($K$25="Italiano","CARTE SPECIALI",(IF($K$25="Español","CARTA ESPECIAL",(IF($K$25="Deutsch","SONDERKARTEN",(IF($K$25="Français","CARTE SPECIALE","SPECIAL CARD")))))))</f>
        <v>SPECIAL CARD</v>
      </c>
      <c r="T26" s="301"/>
      <c r="U26" s="301"/>
      <c r="V26" s="301"/>
      <c r="W26" s="302"/>
      <c r="X26" s="65">
        <v>0</v>
      </c>
      <c r="Y26" s="31" t="s">
        <v>127</v>
      </c>
      <c r="Z26" s="369">
        <v>100000</v>
      </c>
      <c r="AA26" s="370"/>
      <c r="AB26" s="32" t="str">
        <f t="shared" si="51"/>
        <v>gp</v>
      </c>
      <c r="AC26" s="371">
        <f t="shared" si="54"/>
        <v>0</v>
      </c>
      <c r="AD26" s="302"/>
      <c r="AE26" s="378" t="s">
        <v>154</v>
      </c>
      <c r="AF26" s="364"/>
      <c r="AG26" s="364"/>
      <c r="AH26" s="364"/>
      <c r="AI26" s="365"/>
      <c r="AJ26" s="65">
        <v>0</v>
      </c>
      <c r="AK26" s="31" t="s">
        <v>127</v>
      </c>
      <c r="AL26" s="369">
        <f>IFERROR(VLOOKUP(AE26,BE59:BF85,2,FALSE),0)</f>
        <v>0</v>
      </c>
      <c r="AM26" s="370"/>
      <c r="AN26" s="32" t="str">
        <f t="shared" si="52"/>
        <v>gp</v>
      </c>
      <c r="AO26" s="371">
        <f t="shared" si="53"/>
        <v>0</v>
      </c>
      <c r="AP26" s="302"/>
      <c r="AQ26" s="345"/>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25"/>
      <c r="B27" s="326"/>
      <c r="C27" s="326"/>
      <c r="D27" s="342" t="str">
        <f>IF($K$25="Italiano","TIFOSI SFEGATATI",(IF($K$25="Español","FANS DEDICADOS",(IF($K$25="Deutsch","TREUE FANS",(IF($K$25="Français","FANS DÉVOUÉS","DEDICATED FANS")))))))</f>
        <v>DEDICATED FANS</v>
      </c>
      <c r="E27" s="343"/>
      <c r="F27" s="343"/>
      <c r="G27" s="343"/>
      <c r="H27" s="343"/>
      <c r="I27" s="343"/>
      <c r="J27" s="343"/>
      <c r="K27" s="311">
        <f>X21+Games!X2+Games!AC2</f>
        <v>2</v>
      </c>
      <c r="L27" s="312"/>
      <c r="M27" s="312"/>
      <c r="N27" s="312"/>
      <c r="O27" s="312"/>
      <c r="P27" s="312"/>
      <c r="Q27" s="312"/>
      <c r="R27" s="313"/>
      <c r="S27" s="379" t="str">
        <f>IF($K$25="Italiano","CHEERLEADERS AG. INT.",(IF($K$25="Español","ANIMADORAS TEMP.",(IF($K$25="Deutsch","ZEITARBEITS-CHEERLEADER",(IF($K$25="Français","CHEERLEADERS INTERIM.","TEMP. CHEERLEADERS")))))))</f>
        <v>TEMP. CHEERLEADERS</v>
      </c>
      <c r="T27" s="333"/>
      <c r="U27" s="333"/>
      <c r="V27" s="333"/>
      <c r="W27" s="380"/>
      <c r="X27" s="66">
        <v>0</v>
      </c>
      <c r="Y27" s="34" t="s">
        <v>127</v>
      </c>
      <c r="Z27" s="381">
        <v>20000</v>
      </c>
      <c r="AA27" s="335"/>
      <c r="AB27" s="35" t="str">
        <f t="shared" si="51"/>
        <v>gp</v>
      </c>
      <c r="AC27" s="371">
        <f t="shared" si="54"/>
        <v>0</v>
      </c>
      <c r="AD27" s="302"/>
      <c r="AE27" s="375" t="s">
        <v>154</v>
      </c>
      <c r="AF27" s="364"/>
      <c r="AG27" s="364"/>
      <c r="AH27" s="364"/>
      <c r="AI27" s="365"/>
      <c r="AJ27" s="65">
        <v>0</v>
      </c>
      <c r="AK27" s="31" t="s">
        <v>127</v>
      </c>
      <c r="AL27" s="369">
        <f>IFERROR(VLOOKUP(AE27,BE59:BF85,2,FALSE),0)</f>
        <v>0</v>
      </c>
      <c r="AM27" s="370"/>
      <c r="AN27" s="32" t="str">
        <f t="shared" si="52"/>
        <v>gp</v>
      </c>
      <c r="AO27" s="371">
        <f t="shared" si="53"/>
        <v>0</v>
      </c>
      <c r="AP27" s="302"/>
      <c r="AQ27" s="345"/>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25"/>
      <c r="B28" s="326"/>
      <c r="C28" s="326"/>
      <c r="D28" s="342" t="str">
        <f>IF($K$25="Italiano","COSTI INCENTIVI &amp; EXTRA",(IF($K$25="Español","COSTE INCENTIVOS Y EXTRAS",(IF($K$25="Deutsch","GESAMTER TEAMWERT &amp; EXTRAS",(IF($K$25="Français","COUPS DE POUCES &amp; STAFF","COST INDUCEMENTS &amp; EXTRAS")))))))</f>
        <v>COST INDUCEMENTS &amp; EXTRAS</v>
      </c>
      <c r="E28" s="343"/>
      <c r="F28" s="343"/>
      <c r="G28" s="343"/>
      <c r="H28" s="343"/>
      <c r="I28" s="343"/>
      <c r="J28" s="343"/>
      <c r="K28" s="374">
        <f>(SUM(AC21:AD31,AO22:AP31,AO18:AP20))/1000</f>
        <v>210</v>
      </c>
      <c r="L28" s="301"/>
      <c r="M28" s="301"/>
      <c r="N28" s="370"/>
      <c r="O28" s="36" t="str">
        <f>IF($K$25="Español","k mo",(IF($K$25="Deutsch","k gm",(IF($K$25="Français","k po","k gp")))))</f>
        <v>k gp</v>
      </c>
      <c r="P28" s="36"/>
      <c r="Q28" s="36"/>
      <c r="R28" s="37"/>
      <c r="S28" s="373" t="str">
        <f>IF($K$25="Italiano","ASSISTENTI ALLENATORI P.T.",(IF($K$25="Español","AYUDANTES ENTRENADOR T.P.",(IF($K$25="Deutsch","TEILZEIT-TRAINERASSISTENTEN",(IF($K$25="Français","COACHS ASSIST INTERIM.","P.T. ASSISTANT COACHES")))))))</f>
        <v>P.T. ASSISTANT COACHES</v>
      </c>
      <c r="T28" s="301"/>
      <c r="U28" s="301"/>
      <c r="V28" s="301"/>
      <c r="W28" s="302"/>
      <c r="X28" s="65">
        <v>0</v>
      </c>
      <c r="Y28" s="31" t="s">
        <v>127</v>
      </c>
      <c r="Z28" s="369">
        <v>20000</v>
      </c>
      <c r="AA28" s="370"/>
      <c r="AB28" s="32" t="str">
        <f t="shared" si="51"/>
        <v>gp</v>
      </c>
      <c r="AC28" s="371">
        <f t="shared" si="54"/>
        <v>0</v>
      </c>
      <c r="AD28" s="302"/>
      <c r="AE28" s="375" t="s">
        <v>164</v>
      </c>
      <c r="AF28" s="364"/>
      <c r="AG28" s="364"/>
      <c r="AH28" s="364"/>
      <c r="AI28" s="365"/>
      <c r="AJ28" s="65">
        <v>0</v>
      </c>
      <c r="AK28" s="31" t="s">
        <v>127</v>
      </c>
      <c r="AL28" s="369">
        <f>IFERROR(VLOOKUP(AE28,BM59:BN85,2,FALSE),0)</f>
        <v>0</v>
      </c>
      <c r="AM28" s="370"/>
      <c r="AN28" s="32" t="str">
        <f t="shared" si="52"/>
        <v>gp</v>
      </c>
      <c r="AO28" s="371">
        <f t="shared" si="53"/>
        <v>0</v>
      </c>
      <c r="AP28" s="302"/>
      <c r="AQ28" s="345"/>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25"/>
      <c r="B29" s="326"/>
      <c r="C29" s="326"/>
      <c r="D29" s="342" t="str">
        <f>IF($K$25="Italiano","COSTO GIOCATORI",(IF($K$25="Español","PRECIO JUGADORES",(IF($K$25="Deutsch","WERT SPIELER",(IF($K$25="Français","VALEUR DES JOUEURS","COST PLAYERS")))))))</f>
        <v>COST PLAYERS</v>
      </c>
      <c r="E29" s="343"/>
      <c r="F29" s="343"/>
      <c r="G29" s="343"/>
      <c r="H29" s="343"/>
      <c r="I29" s="343"/>
      <c r="J29" s="343"/>
      <c r="K29" s="374">
        <f>(SUM(AO2:AP17))/1000</f>
        <v>990</v>
      </c>
      <c r="L29" s="301"/>
      <c r="M29" s="301"/>
      <c r="N29" s="370"/>
      <c r="O29" s="382" t="str">
        <f>IF($K$25="Español","k mo",(IF($K$25="Deutsch","k gm",(IF($K$25="Français","k po","k gp")))))</f>
        <v>k gp</v>
      </c>
      <c r="P29" s="301"/>
      <c r="Q29" s="301"/>
      <c r="R29" s="302"/>
      <c r="S29" s="373" t="str">
        <f>IF($K$25="Italiano","MAZZETTE",(IF($K$25="Español","SOBORNOS",(IF($K$25="Deutsch","BESTECHUNGEN",(IF($K$25="Français","POTS-DE-VIN","BRIBES")))))))</f>
        <v>BRIBES</v>
      </c>
      <c r="T29" s="301"/>
      <c r="U29" s="301"/>
      <c r="V29" s="301"/>
      <c r="W29" s="302"/>
      <c r="X29" s="65">
        <v>0</v>
      </c>
      <c r="Y29" s="31" t="s">
        <v>127</v>
      </c>
      <c r="Z29" s="369">
        <f>IFERROR(IF(BW2="Bribery and Corruption",50000,100000),100000)</f>
        <v>100000</v>
      </c>
      <c r="AA29" s="370"/>
      <c r="AB29" s="32" t="str">
        <f t="shared" si="51"/>
        <v>gp</v>
      </c>
      <c r="AC29" s="371">
        <f t="shared" si="54"/>
        <v>0</v>
      </c>
      <c r="AD29" s="302"/>
      <c r="AE29" s="375" t="s">
        <v>170</v>
      </c>
      <c r="AF29" s="364"/>
      <c r="AG29" s="364"/>
      <c r="AH29" s="364"/>
      <c r="AI29" s="365"/>
      <c r="AJ29" s="65">
        <v>0</v>
      </c>
      <c r="AK29" s="31" t="s">
        <v>127</v>
      </c>
      <c r="AL29" s="369">
        <f>IFERROR(VLOOKUP(AE29,BP60:BQ86,2,FALSE),0)</f>
        <v>0</v>
      </c>
      <c r="AM29" s="370"/>
      <c r="AN29" s="32" t="str">
        <f t="shared" si="52"/>
        <v>gp</v>
      </c>
      <c r="AO29" s="371">
        <f t="shared" si="53"/>
        <v>0</v>
      </c>
      <c r="AP29" s="302"/>
      <c r="AQ29" s="345"/>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25"/>
      <c r="B30" s="326"/>
      <c r="C30" s="326"/>
      <c r="D30" s="342" t="str">
        <f>IF($K$25="Italiano","COSTO TOTALE SQUADRA",(IF($K$25="Español","PRECIO TOTAL EQUIPO",(IF($K$25="Deutsch","GESAMTER TEAMWERT",(IF($K$25="Français","VALEUR D’ÉQUIPE","TOTAL TEAM COST")))))))</f>
        <v>TOTAL TEAM COST</v>
      </c>
      <c r="E30" s="343"/>
      <c r="F30" s="343"/>
      <c r="G30" s="343"/>
      <c r="H30" s="343"/>
      <c r="I30" s="343"/>
      <c r="J30" s="343"/>
      <c r="K30" s="374">
        <f>K28+K29</f>
        <v>1200</v>
      </c>
      <c r="L30" s="301"/>
      <c r="M30" s="301"/>
      <c r="N30" s="370"/>
      <c r="O30" s="382" t="str">
        <f>IF($K$25="Español","k mo",(IF($K$25="Deutsch","k gm",(IF($K$25="Français","k po","k gp")))))</f>
        <v>k gp</v>
      </c>
      <c r="P30" s="301"/>
      <c r="Q30" s="301"/>
      <c r="R30" s="302"/>
      <c r="S30" s="373" t="str">
        <f>IF($K$25="Italiano","CAPOCUOCO",(IF($K$25="Español","MASTER CHEF",(IF($K$25="Deutsch","HALBLING-MEISTERKOCH",(IF($K$25="Français","CHEF CUISTOT","MASTER CHEF")))))))</f>
        <v>MASTER CHEF</v>
      </c>
      <c r="T30" s="301"/>
      <c r="U30" s="301"/>
      <c r="V30" s="301"/>
      <c r="W30" s="302"/>
      <c r="X30" s="65">
        <v>0</v>
      </c>
      <c r="Y30" s="31" t="s">
        <v>127</v>
      </c>
      <c r="Z30" s="369">
        <f>IFERROR(IF(OR(BP1="Halfling",BP1="Halflings",BP1="Halflinge"),100000,300000),300000)</f>
        <v>300000</v>
      </c>
      <c r="AA30" s="370"/>
      <c r="AB30" s="33" t="str">
        <f t="shared" si="51"/>
        <v>gp</v>
      </c>
      <c r="AC30" s="371">
        <f t="shared" si="54"/>
        <v>0</v>
      </c>
      <c r="AD30" s="302"/>
      <c r="AE30" s="373" t="str">
        <f>IF($K$25="Italiano","ALLENAMIENTO INTENSIVO",(IF($K$25="Español","ENTRENAMIENTO EXTRA",(IF($K$25="Deutsch","ZUSÄTZLICHES TRAINING",(IF($K$25="Français","ENTRAÎNEMENT SUPP.","EXTRA TEAM TRAINING")))))))</f>
        <v>EXTRA TEAM TRAINING</v>
      </c>
      <c r="AF30" s="301"/>
      <c r="AG30" s="301"/>
      <c r="AH30" s="301"/>
      <c r="AI30" s="302"/>
      <c r="AJ30" s="65">
        <v>0</v>
      </c>
      <c r="AK30" s="31" t="s">
        <v>127</v>
      </c>
      <c r="AL30" s="369">
        <v>100000</v>
      </c>
      <c r="AM30" s="370"/>
      <c r="AN30" s="33" t="str">
        <f t="shared" si="52"/>
        <v>gp</v>
      </c>
      <c r="AO30" s="371">
        <f t="shared" si="53"/>
        <v>0</v>
      </c>
      <c r="AP30" s="302"/>
      <c r="AQ30" s="345"/>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25"/>
      <c r="B31" s="326"/>
      <c r="C31" s="326"/>
      <c r="D31" s="342" t="str">
        <f>IF($K$25="Italiano","TESORERIA",(IF($K$25="Español","TESORERÍA",(IF($K$25="Deutsch","TEAMKASSE",(IF($K$25="Français","TRÉSORERIE","TREASURY")))))))</f>
        <v>TREASURY</v>
      </c>
      <c r="E31" s="343"/>
      <c r="F31" s="343"/>
      <c r="G31" s="343"/>
      <c r="H31" s="343"/>
      <c r="I31" s="343"/>
      <c r="J31" s="343"/>
      <c r="K31" s="374">
        <f>(((Games!AC3+Games!Z2-Games!Y2)+(SUM(AH37:AI52))-(SUM(AB37:AC52))-(SUM('Dead &amp; Retired Players'!AJ3:AK32)))/1000)-K30</f>
        <v>30</v>
      </c>
      <c r="L31" s="301"/>
      <c r="M31" s="301"/>
      <c r="N31" s="370"/>
      <c r="O31" s="382" t="str">
        <f>IF($K$25="Español","k mo",(IF($K$25="Deutsch","k gm",(IF($K$25="Français","k po","k gp")))))</f>
        <v>k gp</v>
      </c>
      <c r="P31" s="301"/>
      <c r="Q31" s="301"/>
      <c r="R31" s="302"/>
      <c r="S31" s="399" t="str">
        <f>IF($K$25="Italiano","ESORDIENTI RIBELLI",(IF($K$25="Español","NOVATOS ALBOROTADORES",(IF($K$25="Deutsch","RANDALIERENDE NEULINGE",(IF($K$25="Français","DÉBUTANTS DÉCHAINÉS","RIOTOUS ROOKIES")))))))</f>
        <v>RIOTOUS ROOKIES</v>
      </c>
      <c r="T31" s="301"/>
      <c r="U31" s="301"/>
      <c r="V31" s="301"/>
      <c r="W31" s="302"/>
      <c r="X31" s="65">
        <v>0</v>
      </c>
      <c r="Y31" s="31" t="s">
        <v>127</v>
      </c>
      <c r="Z31" s="369">
        <f>IFERROR(IF(BX2="LowCost",100000,0),0)</f>
        <v>0</v>
      </c>
      <c r="AA31" s="370"/>
      <c r="AB31" s="33" t="str">
        <f t="shared" si="51"/>
        <v>gp</v>
      </c>
      <c r="AC31" s="371">
        <f t="shared" si="54"/>
        <v>0</v>
      </c>
      <c r="AD31" s="302"/>
      <c r="AE31" s="373" t="str">
        <f>IF($K$25="Italiano","MEDICI VAGABONDI",(IF($K$25="Español","MÉDICO ERRANTE",(IF($K$25="Deutsch","WANDERNDER SANITÄTER",(IF($K$25="Français","APO ITINÉRANT","WANDERING APO")))))))</f>
        <v>WANDERING APO</v>
      </c>
      <c r="AF31" s="301"/>
      <c r="AG31" s="301"/>
      <c r="AH31" s="301"/>
      <c r="AI31" s="302"/>
      <c r="AJ31" s="65">
        <v>0</v>
      </c>
      <c r="AK31" s="31" t="s">
        <v>127</v>
      </c>
      <c r="AL31" s="369">
        <f>IFERROR(IF(Z22=0,0,100000),0)</f>
        <v>100000</v>
      </c>
      <c r="AM31" s="370"/>
      <c r="AN31" s="33" t="str">
        <f t="shared" si="52"/>
        <v>gp</v>
      </c>
      <c r="AO31" s="371">
        <f t="shared" si="53"/>
        <v>0</v>
      </c>
      <c r="AP31" s="302"/>
      <c r="AQ31" s="345"/>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27"/>
      <c r="B32" s="328"/>
      <c r="C32" s="328"/>
      <c r="D32" s="342" t="str">
        <f>IF($K$25="Italiano","VALORE SQUADRA",(IF($K$25="Español","VALOR DEL EQUIPO",(IF($K$25="Deutsch","TEAMWERT",(IF($K$25="Français","VALEUR D’ÉQUIPE ACTUELLE","TEAM VALUE")))))))</f>
        <v>TEAM VALUE</v>
      </c>
      <c r="E32" s="343"/>
      <c r="F32" s="343"/>
      <c r="G32" s="343"/>
      <c r="H32" s="343"/>
      <c r="I32" s="343"/>
      <c r="J32" s="343"/>
      <c r="K32" s="312">
        <f>(K28-(AC21/1000)+(SUM(AR2:AR17))-(AO23/2000))</f>
        <v>1200</v>
      </c>
      <c r="L32" s="301"/>
      <c r="M32" s="301"/>
      <c r="N32" s="301"/>
      <c r="O32" s="301"/>
      <c r="P32" s="301"/>
      <c r="Q32" s="301"/>
      <c r="R32" s="302"/>
      <c r="S32" s="399" t="str">
        <f>IF($K$25="Italiano","REGOLE SPECIALI",(IF($K$25="Español","REGLA ESPECIAL",(IF($K$25="Deutsch","SONDERREGELN",(IF($K$25="Français","RÈGLES SPÉCIALES","SPECIAL RULES")))))))</f>
        <v>SPECIAL RULES</v>
      </c>
      <c r="T32" s="301"/>
      <c r="U32" s="301"/>
      <c r="V32" s="301"/>
      <c r="W32" s="302"/>
      <c r="X32" s="403" t="str">
        <f>IFERROR(VLOOKUP(BP1,BM:BV,8,0),"")</f>
        <v>Badlands Brawl and Favoured of Hashut</v>
      </c>
      <c r="Y32" s="301"/>
      <c r="Z32" s="301"/>
      <c r="AA32" s="301"/>
      <c r="AB32" s="301"/>
      <c r="AC32" s="301"/>
      <c r="AD32" s="301"/>
      <c r="AE32" s="301"/>
      <c r="AF32" s="301"/>
      <c r="AG32" s="301"/>
      <c r="AH32" s="301"/>
      <c r="AI32" s="301"/>
      <c r="AJ32" s="370"/>
      <c r="AK32" s="404" t="s">
        <v>185</v>
      </c>
      <c r="AL32" s="301"/>
      <c r="AM32" s="370"/>
      <c r="AN32" s="405"/>
      <c r="AO32" s="301"/>
      <c r="AP32" s="302"/>
      <c r="AQ32" s="345"/>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8"/>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29" t="str">
        <f>IF(K25="Italiano","v9.0 - Creato da dreamscreator",(IF(K25="Español","v9.0 - Creado por dreamscreator",(IF(K25="Deutsch","v9.0 - Erstellt von dreamscreator",(IF(K25="Français","v9.0 - Créé par dreamscreator","v9.0 - Created by dreamscreator")))))))</f>
        <v>v9.0 - Created by dreamscreator</v>
      </c>
      <c r="B33" s="330"/>
      <c r="C33" s="331"/>
      <c r="D33" s="292"/>
      <c r="E33" s="292"/>
      <c r="F33" s="292"/>
      <c r="G33" s="401" t="str">
        <f>B60&amp;B61&amp;B62&amp;B63&amp;B64&amp;B65&amp;B66</f>
        <v/>
      </c>
      <c r="H33" s="292"/>
      <c r="I33" s="292"/>
      <c r="J33" s="29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1"/>
      <c r="AQ33" s="345"/>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8"/>
      <c r="CE33" s="7"/>
      <c r="CF33" s="7" t="s">
        <v>180</v>
      </c>
      <c r="CG33" s="7" t="s">
        <v>161</v>
      </c>
      <c r="CH33" s="7" t="s">
        <v>188</v>
      </c>
      <c r="CI33" s="7" t="s">
        <v>174</v>
      </c>
    </row>
    <row r="34" spans="1:107" ht="23.25" customHeight="1" x14ac:dyDescent="0.2">
      <c r="A34" s="332" t="str">
        <f>IF(K25="Italiano","Tradotto da Leonida https://bloodbowlhelp.wordpress.com",(IF(K25="Deutsch","Übersetzt von Coach Grong https://bloodbowlhelp.wordpress.com",(IF(K25="Français","Traduit par Fennec https://bloodbowlhelp.wordpress.com","https://bloodbowlhelp.wordpress.com")))))</f>
        <v>https://bloodbowlhelp.wordpress.com</v>
      </c>
      <c r="B34" s="333"/>
      <c r="C34" s="334"/>
      <c r="D34" s="333"/>
      <c r="E34" s="333"/>
      <c r="F34" s="335"/>
      <c r="G34" s="402" t="str">
        <f>IF(K25="Italiano","AVANZAMIENTO GIOCATORI",(IF(K25="Español","MEJORAS DE LOS JUGADORES",(IF(K25="Deutsch","SPIELERVERBESSERUNGEN",(IF(K25="Français","AMÉLIORATIONS DE JOUEURS","PLAYERS UPGRADES")))))))</f>
        <v>PLAYERS UPGRADES</v>
      </c>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5"/>
      <c r="AL34" s="39"/>
      <c r="AM34" s="39"/>
      <c r="AN34" s="39"/>
      <c r="AO34" s="39"/>
      <c r="AP34" s="39"/>
      <c r="AQ34" s="345"/>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1" t="s">
        <v>29</v>
      </c>
      <c r="B35" s="321" t="str">
        <f>IF($K$25="Italiano","TIPO",(IF($K$25="Español","TIPO",(IF($K$25="Deutsch","POSITION",(IF($K$25="Français","POSTE","TYPE")))))))</f>
        <v>TYPE</v>
      </c>
      <c r="C35" s="321" t="str">
        <f>IF($K$25="Italiano","Avanzamento 1",(IF($K$25="Español","Mejora 1",(IF($K$25="Deutsch","Verbes- serung 1",(IF($K$25="Français","Amélioration 1","Upgrade 1")))))))</f>
        <v>Upgrade 1</v>
      </c>
      <c r="D35" s="337" t="str">
        <f>IF($K$25="Italiano","Scelto o Casuale",(IF($K$25="Español","Elegida o Aleatoria",(IF($K$25="Deutsch","Ausge- wählt oder zufällig",(IF($K$25="Français","Choisie ou Aléatoire ","Chosen or Random")))))))</f>
        <v>Chosen or Random</v>
      </c>
      <c r="E35" s="338"/>
      <c r="F35" s="337" t="str">
        <f>IF($K$25="Italiano","Avanzamento 2",(IF($K$25="Español","Mejora 2",(IF($K$25="Deutsch","Verbes- serung 2",(IF($K$25="Français","Amélioration 2","Upgrade 2")))))))</f>
        <v>Upgrade 2</v>
      </c>
      <c r="G35" s="338"/>
      <c r="H35" s="337" t="str">
        <f>IF($K$25="Italiano","Scelto o Casuale",(IF($K$25="Español","Elegida o Aleatoria",(IF($K$25="Deutsch","Ausge- wählt oder zufällig",(IF($K$25="Français","Choisie ou Aléatoire ","Chosen or Random")))))))</f>
        <v>Chosen or Random</v>
      </c>
      <c r="I35" s="377"/>
      <c r="J35" s="377"/>
      <c r="K35" s="338"/>
      <c r="L35" s="337" t="str">
        <f>IF($K$25="Italiano","Avanzamento 3",(IF($K$25="Español","Mejora 3",(IF($K$25="Deutsch","Verbes- serung 3",(IF($K$25="Français","Amélioration 3","Upgrade 3")))))))</f>
        <v>Upgrade 3</v>
      </c>
      <c r="M35" s="338"/>
      <c r="N35" s="337" t="str">
        <f>IF($K$25="Italiano","Scelto o Casuale",(IF($K$25="Español","Elegida o Aleatoria",(IF($K$25="Deutsch","Ausge- wählt oder zufällig",(IF($K$25="Français","Choisie ou Aléatoire ","Chosen or Random")))))))</f>
        <v>Chosen or Random</v>
      </c>
      <c r="O35" s="338"/>
      <c r="P35" s="337" t="str">
        <f>IF($K$25="Italiano","Avanzamento 4",(IF($K$25="Español","Mejora 4",(IF($K$25="Deutsch","Verbes- serung 4",(IF($K$25="Français","Amélioration 4","Upgrade 4")))))))</f>
        <v>Upgrade 4</v>
      </c>
      <c r="Q35" s="338"/>
      <c r="R35" s="337" t="str">
        <f>IF($K$25="Italiano","Scelto o Casuale",(IF($K$25="Español","Elegida o Aleatoria",(IF($K$25="Deutsch","Ausge- wählt oder zufällig",(IF($K$25="Français","Choisie ou Aléatoire ","Chosen or Random")))))))</f>
        <v>Chosen or Random</v>
      </c>
      <c r="S35" s="338"/>
      <c r="T35" s="337" t="str">
        <f>IF($K$25="Italiano","Avanzamento 5",(IF($K$25="Español","Mejora 5",(IF($K$25="Deutsch","Verbes- serung 5",(IF($K$25="Français","Amélioration 5","Upgrade 5")))))))</f>
        <v>Upgrade 5</v>
      </c>
      <c r="U35" s="338"/>
      <c r="V35" s="337" t="str">
        <f>IF($K$25="Italiano","Scelto o Casuale",(IF($K$25="Español","Elegida o Aleatoria",(IF($K$25="Deutsch","Ausge- wählt oder zufällig",(IF($K$25="Français","Choisie ou Aléatoire ","Chosen or Random")))))))</f>
        <v>Chosen or Random</v>
      </c>
      <c r="W35" s="338"/>
      <c r="X35" s="337" t="str">
        <f>IF($K$25="Italiano","Avanzamento 6",(IF($K$25="Español","Mejora 6",(IF($K$25="Deutsch","Verbes- serung 6",(IF($K$25="Français","Amélioration 6","Upgrade 6")))))))</f>
        <v>Upgrade 6</v>
      </c>
      <c r="Y35" s="338"/>
      <c r="Z35" s="337" t="str">
        <f>IF($K$25="Italiano","Scelto o Casuale",(IF($K$25="Español","Elegida o Aleatoria",(IF($K$25="Deutsch","Ausge- wählt oder zufällig",(IF($K$25="Français","Choisie ou Aléatoire ","Chosen or Random")))))))</f>
        <v>Chosen or Random</v>
      </c>
      <c r="AA35" s="338"/>
      <c r="AB35" s="337" t="str">
        <f>IF($K$25="Italiano","Tassa di agenzia di ricontratto",(IF($K$25="Español","Tasa Agencia Recontratar",(IF($K$25="Deutsch","Gebühr für die Neuvergabe einer Agentur",(IF($K$25="Français","Frais d'agence pour le recontrat","Fee Agency Redraft")))))))</f>
        <v>Fee Agency Redraft</v>
      </c>
      <c r="AC35" s="338"/>
      <c r="AD35" s="337" t="str">
        <f>IF($K$25="Italiano","Modifica Manuale Valore",(IF($K$25="Español","Modificar valor manual",(IF($K$25="Deutsch","Manuelle Wertän- derung",(IF($K$25="Français","Modif. manuelle de Valeur","Manual Modify Value")))))))</f>
        <v>Manual Modify Value</v>
      </c>
      <c r="AE35" s="338"/>
      <c r="AF35" s="337" t="str">
        <f>IF($K$25="Italiano","Modifica Manuale SPP",(IF($K$25="Español","Modificar SPP manual",(IF($K$25="Deutsch","Manuelle SPP derung",(IF($K$25="Français","Modif. manuelle de SPP","Manual Modify SPP")))))))</f>
        <v>Manual Modify SPP</v>
      </c>
      <c r="AG35" s="338"/>
      <c r="AH35" s="337" t="str">
        <f>IF($K$25="Italiano","Valore Extra",(IF($K$25="Español","Valor extra",(IF($K$25="Deutsch","Extra Wert",(IF($K$25="Français","Hausse de Valeur","Value Extra")))))))</f>
        <v>Value Extra</v>
      </c>
      <c r="AI35" s="338"/>
      <c r="AJ35" s="385" t="str">
        <f>IF($K$25="Italiano","Costo SPP",(IF($K$25="Español","Coste",(IF($K$25="Deutsch","Σ SPP",(IF($K$25="Français","Coût en PSP","SPP Cost")))))))</f>
        <v>SPP Cost</v>
      </c>
      <c r="AK35" s="387" t="str">
        <f>IF($K$25="Italiano","Infortuni",(IF($K$25="Español","Lesiones",(IF($K$25="Deutsch","Verletzungen",(IF($K$25="Français","Blessures","Injuries")))))))</f>
        <v>Injuries</v>
      </c>
      <c r="AL35" s="301"/>
      <c r="AM35" s="301"/>
      <c r="AN35" s="301"/>
      <c r="AO35" s="301"/>
      <c r="AP35" s="302"/>
      <c r="AQ35" s="345"/>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36"/>
      <c r="B36" s="322"/>
      <c r="C36" s="322"/>
      <c r="D36" s="339"/>
      <c r="E36" s="340"/>
      <c r="F36" s="339"/>
      <c r="G36" s="340"/>
      <c r="H36" s="339"/>
      <c r="I36" s="334"/>
      <c r="J36" s="334"/>
      <c r="K36" s="340"/>
      <c r="L36" s="339"/>
      <c r="M36" s="340"/>
      <c r="N36" s="339"/>
      <c r="O36" s="340"/>
      <c r="P36" s="339"/>
      <c r="Q36" s="340"/>
      <c r="R36" s="339"/>
      <c r="S36" s="340"/>
      <c r="T36" s="339"/>
      <c r="U36" s="340"/>
      <c r="V36" s="339"/>
      <c r="W36" s="340"/>
      <c r="X36" s="339"/>
      <c r="Y36" s="340"/>
      <c r="Z36" s="339"/>
      <c r="AA36" s="340"/>
      <c r="AB36" s="339"/>
      <c r="AC36" s="340"/>
      <c r="AD36" s="339"/>
      <c r="AE36" s="340"/>
      <c r="AF36" s="339"/>
      <c r="AG36" s="340"/>
      <c r="AH36" s="339"/>
      <c r="AI36" s="340"/>
      <c r="AJ36" s="386"/>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45"/>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8"/>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Bull Centaur Blitzer</v>
      </c>
      <c r="C37" s="255" t="s">
        <v>1847</v>
      </c>
      <c r="D37" s="397" t="s">
        <v>1848</v>
      </c>
      <c r="E37" s="351"/>
      <c r="F37" s="361"/>
      <c r="G37" s="362"/>
      <c r="H37" s="314"/>
      <c r="I37" s="341"/>
      <c r="J37" s="341"/>
      <c r="K37" s="315"/>
      <c r="L37" s="361"/>
      <c r="M37" s="362"/>
      <c r="N37" s="388"/>
      <c r="O37" s="351"/>
      <c r="P37" s="361"/>
      <c r="Q37" s="362"/>
      <c r="R37" s="388"/>
      <c r="S37" s="351"/>
      <c r="T37" s="361"/>
      <c r="U37" s="362"/>
      <c r="V37" s="388"/>
      <c r="W37" s="351"/>
      <c r="X37" s="361"/>
      <c r="Y37" s="362"/>
      <c r="Z37" s="388"/>
      <c r="AA37" s="351"/>
      <c r="AB37" s="350"/>
      <c r="AC37" s="351"/>
      <c r="AD37" s="350"/>
      <c r="AE37" s="351"/>
      <c r="AF37" s="389"/>
      <c r="AG37" s="351"/>
      <c r="AH37" s="348">
        <f>IFERROR(BJ40+AB37+AD37,0)</f>
        <v>20000</v>
      </c>
      <c r="AI37" s="349"/>
      <c r="AJ37" s="68">
        <f>IFERROR((SUM(CV40:DA40)+AF37),0)</f>
        <v>6</v>
      </c>
      <c r="AK37" s="67">
        <v>0</v>
      </c>
      <c r="AL37" s="68">
        <v>0</v>
      </c>
      <c r="AM37" s="68">
        <v>0</v>
      </c>
      <c r="AN37" s="68">
        <v>0</v>
      </c>
      <c r="AO37" s="68">
        <v>0</v>
      </c>
      <c r="AP37" s="68">
        <v>0</v>
      </c>
      <c r="AQ37" s="345"/>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Bull Centaur Blitzer</v>
      </c>
      <c r="C38" s="254" t="s">
        <v>407</v>
      </c>
      <c r="D38" s="314" t="s">
        <v>1848</v>
      </c>
      <c r="E38" s="315"/>
      <c r="F38" s="314"/>
      <c r="G38" s="315"/>
      <c r="H38" s="314"/>
      <c r="I38" s="341"/>
      <c r="J38" s="341"/>
      <c r="K38" s="315"/>
      <c r="L38" s="314"/>
      <c r="M38" s="315"/>
      <c r="N38" s="314"/>
      <c r="O38" s="315"/>
      <c r="P38" s="314"/>
      <c r="Q38" s="315"/>
      <c r="R38" s="314"/>
      <c r="S38" s="315"/>
      <c r="T38" s="314"/>
      <c r="U38" s="315"/>
      <c r="V38" s="314"/>
      <c r="W38" s="315"/>
      <c r="X38" s="314"/>
      <c r="Y38" s="315"/>
      <c r="Z38" s="314"/>
      <c r="AA38" s="315"/>
      <c r="AB38" s="350">
        <v>0</v>
      </c>
      <c r="AC38" s="351"/>
      <c r="AD38" s="352"/>
      <c r="AE38" s="353"/>
      <c r="AF38" s="346"/>
      <c r="AG38" s="347"/>
      <c r="AH38" s="348">
        <f t="shared" ref="AH38:AH52" si="56">IFERROR(BJ41+AB38+AD38,0)</f>
        <v>20000</v>
      </c>
      <c r="AI38" s="349"/>
      <c r="AJ38" s="68">
        <f t="shared" ref="AJ38:AJ51" si="57">IFERROR((SUM(CV41:DA41)+AF38),0)</f>
        <v>6</v>
      </c>
      <c r="AK38" s="67">
        <v>0</v>
      </c>
      <c r="AL38" s="68">
        <v>0</v>
      </c>
      <c r="AM38" s="68">
        <v>0</v>
      </c>
      <c r="AN38" s="68">
        <v>0</v>
      </c>
      <c r="AO38" s="68">
        <v>0</v>
      </c>
      <c r="AP38" s="68">
        <v>0</v>
      </c>
      <c r="AQ38" s="345"/>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Chaos Dwarf Blocker</v>
      </c>
      <c r="C39" s="255"/>
      <c r="D39" s="361"/>
      <c r="E39" s="362"/>
      <c r="F39" s="361"/>
      <c r="G39" s="362"/>
      <c r="H39" s="314"/>
      <c r="I39" s="341"/>
      <c r="J39" s="341"/>
      <c r="K39" s="315"/>
      <c r="L39" s="361"/>
      <c r="M39" s="362"/>
      <c r="N39" s="314"/>
      <c r="O39" s="315"/>
      <c r="P39" s="361"/>
      <c r="Q39" s="362"/>
      <c r="R39" s="314"/>
      <c r="S39" s="315"/>
      <c r="T39" s="361"/>
      <c r="U39" s="362"/>
      <c r="V39" s="314"/>
      <c r="W39" s="315"/>
      <c r="X39" s="361"/>
      <c r="Y39" s="362"/>
      <c r="Z39" s="314"/>
      <c r="AA39" s="315"/>
      <c r="AB39" s="350">
        <v>0</v>
      </c>
      <c r="AC39" s="351"/>
      <c r="AD39" s="352"/>
      <c r="AE39" s="353"/>
      <c r="AF39" s="346"/>
      <c r="AG39" s="347"/>
      <c r="AH39" s="348">
        <f t="shared" si="56"/>
        <v>0</v>
      </c>
      <c r="AI39" s="349"/>
      <c r="AJ39" s="68">
        <f t="shared" si="57"/>
        <v>0</v>
      </c>
      <c r="AK39" s="67">
        <v>1</v>
      </c>
      <c r="AL39" s="68">
        <v>0</v>
      </c>
      <c r="AM39" s="68">
        <v>0</v>
      </c>
      <c r="AN39" s="68">
        <v>0</v>
      </c>
      <c r="AO39" s="68">
        <v>0</v>
      </c>
      <c r="AP39" s="68">
        <v>0</v>
      </c>
      <c r="AQ39" s="345"/>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3" t="s">
        <v>207</v>
      </c>
      <c r="BM39" s="384"/>
      <c r="BN39" s="384"/>
      <c r="BO39" s="384"/>
      <c r="BP39" s="384"/>
      <c r="BQ39" s="384"/>
      <c r="BR39" s="197"/>
      <c r="BS39" s="197"/>
      <c r="BT39" s="383" t="s">
        <v>208</v>
      </c>
      <c r="BU39" s="384"/>
      <c r="BV39" s="384"/>
      <c r="BW39" s="384"/>
      <c r="BX39" s="384"/>
      <c r="BY39" s="384"/>
      <c r="BZ39" s="197"/>
      <c r="CA39" s="383" t="s">
        <v>209</v>
      </c>
      <c r="CB39" s="384"/>
      <c r="CC39" s="384"/>
      <c r="CD39" s="384"/>
      <c r="CE39" s="384"/>
      <c r="CF39" s="384"/>
      <c r="CG39" s="197"/>
      <c r="CH39" s="383" t="s">
        <v>210</v>
      </c>
      <c r="CI39" s="384"/>
      <c r="CJ39" s="384"/>
      <c r="CK39" s="384"/>
      <c r="CL39" s="384"/>
      <c r="CM39" s="384"/>
      <c r="CN39" s="197"/>
      <c r="CO39" s="383" t="s">
        <v>211</v>
      </c>
      <c r="CP39" s="384"/>
      <c r="CQ39" s="384"/>
      <c r="CR39" s="384"/>
      <c r="CS39" s="384"/>
      <c r="CT39" s="384"/>
      <c r="CU39" s="197"/>
      <c r="CV39" s="383" t="s">
        <v>212</v>
      </c>
      <c r="CW39" s="384"/>
      <c r="CX39" s="384"/>
      <c r="CY39" s="384"/>
      <c r="CZ39" s="384"/>
      <c r="DA39" s="384"/>
      <c r="DB39" s="199"/>
      <c r="DC39" s="199"/>
    </row>
    <row r="40" spans="1:107" s="200" customFormat="1" ht="22.5" customHeight="1" x14ac:dyDescent="0.2">
      <c r="A40" s="15">
        <v>4</v>
      </c>
      <c r="B40" s="25" t="str">
        <f t="shared" si="55"/>
        <v>Chaos Dwarf Blocker</v>
      </c>
      <c r="C40" s="254"/>
      <c r="D40" s="314"/>
      <c r="E40" s="315"/>
      <c r="F40" s="314"/>
      <c r="G40" s="315"/>
      <c r="H40" s="314"/>
      <c r="I40" s="341"/>
      <c r="J40" s="341"/>
      <c r="K40" s="315"/>
      <c r="L40" s="314"/>
      <c r="M40" s="315"/>
      <c r="N40" s="314"/>
      <c r="O40" s="315"/>
      <c r="P40" s="314"/>
      <c r="Q40" s="315"/>
      <c r="R40" s="314"/>
      <c r="S40" s="315"/>
      <c r="T40" s="314"/>
      <c r="U40" s="315"/>
      <c r="V40" s="314"/>
      <c r="W40" s="315"/>
      <c r="X40" s="314"/>
      <c r="Y40" s="315"/>
      <c r="Z40" s="314"/>
      <c r="AA40" s="315"/>
      <c r="AB40" s="350">
        <v>0</v>
      </c>
      <c r="AC40" s="351"/>
      <c r="AD40" s="352"/>
      <c r="AE40" s="353"/>
      <c r="AF40" s="346"/>
      <c r="AG40" s="347"/>
      <c r="AH40" s="348">
        <f t="shared" si="56"/>
        <v>0</v>
      </c>
      <c r="AI40" s="349"/>
      <c r="AJ40" s="68">
        <f t="shared" si="57"/>
        <v>0</v>
      </c>
      <c r="AK40" s="67">
        <v>0</v>
      </c>
      <c r="AL40" s="68">
        <v>0</v>
      </c>
      <c r="AM40" s="68">
        <v>0</v>
      </c>
      <c r="AN40" s="68">
        <v>0</v>
      </c>
      <c r="AO40" s="68">
        <v>0</v>
      </c>
      <c r="AP40" s="68">
        <v>0</v>
      </c>
      <c r="AQ40" s="345"/>
      <c r="AR40" s="199"/>
      <c r="AS40" s="199"/>
      <c r="AT40" s="199"/>
      <c r="AU40" s="199"/>
      <c r="AV40" s="199"/>
      <c r="AW40" s="199"/>
      <c r="AX40" s="199"/>
      <c r="AY40" s="8" t="str">
        <f t="shared" ref="AY40:AY53" si="58">B37</f>
        <v>Bull Centaur Blitzer</v>
      </c>
      <c r="AZ40" s="8" t="str">
        <f>IFERROR((VLOOKUP($BP$1&amp;B37,Teams!D:S,12,0)),0)</f>
        <v>P</v>
      </c>
      <c r="BA40" s="8" t="str">
        <f>IFERROR((VLOOKUP($BP$1&amp;B37,Teams!D:S,13,0)),0)</f>
        <v>S</v>
      </c>
      <c r="BB40" s="8" t="str">
        <f>IFERROR((VLOOKUP($BP$1&amp;B37,Teams!D:S,14,0)),0)</f>
        <v>P</v>
      </c>
      <c r="BC40" s="8">
        <f>IFERROR((VLOOKUP($BP$1&amp;B37,Teams!D:S,15,0)),0)</f>
        <v>0</v>
      </c>
      <c r="BD40" s="8" t="str">
        <f>IFERROR((VLOOKUP($BP$1&amp;B37,Teams!D:S,16,0)),0)</f>
        <v>S</v>
      </c>
      <c r="BE40" s="8">
        <v>20000</v>
      </c>
      <c r="BF40" s="8">
        <v>10000</v>
      </c>
      <c r="BG40" s="8">
        <v>40000</v>
      </c>
      <c r="BH40" s="8">
        <v>20000</v>
      </c>
      <c r="BI40" s="8">
        <v>80000</v>
      </c>
      <c r="BJ40" s="8">
        <f>SUM(CH40:CT40)</f>
        <v>20000</v>
      </c>
      <c r="BK40"/>
      <c r="BL40" s="8" t="str">
        <f>IF(C37="",0,(VLOOKUP(C37,$CD$59:$CE$159,2,0)))</f>
        <v>G</v>
      </c>
      <c r="BM40" s="8">
        <f>IF(F37="",0,(VLOOKUP(F37,$CD$59:$CE$159,2,0)))</f>
        <v>0</v>
      </c>
      <c r="BN40" s="8">
        <f>IF(L37="",0,(VLOOKUP(L37,$CD$59:$CE$159,2,0)))</f>
        <v>0</v>
      </c>
      <c r="BO40" s="8">
        <f>IF(P37="",0,(VLOOKUP(P37,$CD$59:$CE$159,2,0)))</f>
        <v>0</v>
      </c>
      <c r="BP40" s="8">
        <f>IF(T37="",0,(VLOOKUP(T37,$CD$59:$CE$159,2,0)))</f>
        <v>0</v>
      </c>
      <c r="BQ40" s="8">
        <f>IF(X37="",0,(VLOOKUP(X37,$CD$59:$CE$159,2,0)))</f>
        <v>0</v>
      </c>
      <c r="BR40"/>
      <c r="BS40"/>
      <c r="BT40" s="8" t="str">
        <f>(IF(BL40="G",AZ40,IF(BL40="A",BA40,IF(BL40="S",BB40,IF(BL40="P",BC40,IF(BL40="M",BD40,IF(BL40="X",0,IF(OR(BL40="MA",BL40="AV",BL40="ST",BL40="PA",BL40="AG"),"STAT",0))))))))</f>
        <v>P</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t="str">
        <f t="shared" ref="CA40:CA54" si="64">IF(D37="Chosen","Chosen",(IF(D37="Scelto","Chosen",(IF(D37="Elegida","Chosen",(IF(D37="Gewählt","Chosen",(IF(D37="Choisie","Chosen",(IF(D37="Random","Random",(IF(D37="Casuale","Random",(IF(D37="Aleatoria","Random",(IF(D37="Zufällig","Random",(IF(D37="Aléatoire","Random",0)))))))))))))))))))</f>
        <v>Chosen</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20000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6</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Chaos Dwarf Blocker</v>
      </c>
      <c r="C41" s="254"/>
      <c r="D41" s="314"/>
      <c r="E41" s="315"/>
      <c r="F41" s="314"/>
      <c r="G41" s="315"/>
      <c r="H41" s="314"/>
      <c r="I41" s="341"/>
      <c r="J41" s="341"/>
      <c r="K41" s="315"/>
      <c r="L41" s="314"/>
      <c r="M41" s="315"/>
      <c r="N41" s="314"/>
      <c r="O41" s="315"/>
      <c r="P41" s="314"/>
      <c r="Q41" s="315"/>
      <c r="R41" s="314"/>
      <c r="S41" s="315"/>
      <c r="T41" s="314"/>
      <c r="U41" s="315"/>
      <c r="V41" s="314"/>
      <c r="W41" s="315"/>
      <c r="X41" s="314"/>
      <c r="Y41" s="315"/>
      <c r="Z41" s="314"/>
      <c r="AA41" s="315"/>
      <c r="AB41" s="350">
        <v>0</v>
      </c>
      <c r="AC41" s="351"/>
      <c r="AD41" s="352"/>
      <c r="AE41" s="353"/>
      <c r="AF41" s="352"/>
      <c r="AG41" s="353"/>
      <c r="AH41" s="348">
        <f t="shared" si="56"/>
        <v>0</v>
      </c>
      <c r="AI41" s="349"/>
      <c r="AJ41" s="68">
        <f t="shared" si="57"/>
        <v>0</v>
      </c>
      <c r="AK41" s="67">
        <v>0</v>
      </c>
      <c r="AL41" s="68">
        <v>0</v>
      </c>
      <c r="AM41" s="68">
        <v>0</v>
      </c>
      <c r="AN41" s="68">
        <v>0</v>
      </c>
      <c r="AO41" s="68">
        <v>0</v>
      </c>
      <c r="AP41" s="68">
        <v>0</v>
      </c>
      <c r="AQ41" s="345"/>
      <c r="AR41" s="199"/>
      <c r="AS41" s="199"/>
      <c r="AT41" s="199"/>
      <c r="AU41" s="199"/>
      <c r="AV41" s="199"/>
      <c r="AW41" s="199"/>
      <c r="AX41" s="199"/>
      <c r="AY41" s="8" t="str">
        <f t="shared" si="58"/>
        <v>Bull Centaur Blitzer</v>
      </c>
      <c r="AZ41" s="8" t="str">
        <f>IFERROR((VLOOKUP($BP$1&amp;B38,Teams!D:S,12,0)),0)</f>
        <v>P</v>
      </c>
      <c r="BA41" s="8" t="str">
        <f>IFERROR((VLOOKUP($BP$1&amp;B38,Teams!D:S,13,0)),0)</f>
        <v>S</v>
      </c>
      <c r="BB41" s="8" t="str">
        <f>IFERROR((VLOOKUP($BP$1&amp;B38,Teams!D:S,14,0)),0)</f>
        <v>P</v>
      </c>
      <c r="BC41" s="8">
        <f>IFERROR((VLOOKUP($BP$1&amp;B38,Teams!D:S,15,0)),0)</f>
        <v>0</v>
      </c>
      <c r="BD41" s="8" t="str">
        <f>IFERROR((VLOOKUP($BP$1&amp;B38,Teams!D:S,16,0)),0)</f>
        <v>S</v>
      </c>
      <c r="BE41" s="8">
        <v>20000</v>
      </c>
      <c r="BF41" s="8">
        <v>10000</v>
      </c>
      <c r="BG41" s="8">
        <v>40000</v>
      </c>
      <c r="BH41" s="8">
        <v>20000</v>
      </c>
      <c r="BI41" s="8">
        <v>80000</v>
      </c>
      <c r="BJ41" s="8">
        <f t="shared" ref="BJ41:BJ53" si="87">SUM(CH41:CT41)</f>
        <v>20000</v>
      </c>
      <c r="BK41"/>
      <c r="BL41" s="8" t="str">
        <f t="shared" ref="BL41:BL55" si="88">IF(C38="",0,(VLOOKUP(C38,$CD$59:$CE$159,2,0)))</f>
        <v>G</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t="str">
        <f t="shared" ref="BT41:BT53" si="94">(IF(BL41="G",AZ41,IF(BL41="A",BA41,IF(BL41="S",BB41,IF(BL41="P",BC41,IF(BL41="M",BD41,IF(BL41="X",0,IF(OR(BL41="MA",BL41="AV",BL41="ST",BL41="PA",BL41="AG"),"STAT",0))))))))</f>
        <v>P</v>
      </c>
      <c r="BU41" s="8">
        <f t="shared" si="59"/>
        <v>0</v>
      </c>
      <c r="BV41" s="8">
        <f t="shared" si="60"/>
        <v>0</v>
      </c>
      <c r="BW41" s="8">
        <f t="shared" si="61"/>
        <v>0</v>
      </c>
      <c r="BX41" s="8">
        <f t="shared" si="62"/>
        <v>0</v>
      </c>
      <c r="BY41" s="8">
        <f t="shared" si="63"/>
        <v>0</v>
      </c>
      <c r="BZ41" s="8"/>
      <c r="CA41" s="8" t="str">
        <f t="shared" si="64"/>
        <v>Chosen</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20000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6</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Chaos Dwarf Blocker</v>
      </c>
      <c r="C42" s="254" t="s">
        <v>1850</v>
      </c>
      <c r="D42" s="314" t="s">
        <v>1848</v>
      </c>
      <c r="E42" s="315"/>
      <c r="F42" s="314"/>
      <c r="G42" s="315"/>
      <c r="H42" s="314"/>
      <c r="I42" s="341"/>
      <c r="J42" s="341"/>
      <c r="K42" s="315"/>
      <c r="L42" s="314"/>
      <c r="M42" s="315"/>
      <c r="N42" s="314"/>
      <c r="O42" s="315"/>
      <c r="P42" s="314"/>
      <c r="Q42" s="315"/>
      <c r="R42" s="314"/>
      <c r="S42" s="315"/>
      <c r="T42" s="314"/>
      <c r="U42" s="315"/>
      <c r="V42" s="314"/>
      <c r="W42" s="315"/>
      <c r="X42" s="314"/>
      <c r="Y42" s="315"/>
      <c r="Z42" s="314"/>
      <c r="AA42" s="315"/>
      <c r="AB42" s="350">
        <v>0</v>
      </c>
      <c r="AC42" s="351"/>
      <c r="AD42" s="352"/>
      <c r="AE42" s="353"/>
      <c r="AF42" s="352"/>
      <c r="AG42" s="353"/>
      <c r="AH42" s="348">
        <f t="shared" si="56"/>
        <v>20000</v>
      </c>
      <c r="AI42" s="349"/>
      <c r="AJ42" s="68">
        <f t="shared" si="57"/>
        <v>6</v>
      </c>
      <c r="AK42" s="67">
        <v>0</v>
      </c>
      <c r="AL42" s="68">
        <v>0</v>
      </c>
      <c r="AM42" s="68">
        <v>0</v>
      </c>
      <c r="AN42" s="68">
        <v>0</v>
      </c>
      <c r="AO42" s="68">
        <v>0</v>
      </c>
      <c r="AP42" s="68">
        <v>0</v>
      </c>
      <c r="AQ42" s="345"/>
      <c r="AR42" s="199"/>
      <c r="AS42" s="199"/>
      <c r="AT42" s="199"/>
      <c r="AU42" s="199"/>
      <c r="AV42" s="199"/>
      <c r="AW42" s="199"/>
      <c r="AX42" s="199"/>
      <c r="AY42" s="8" t="str">
        <f t="shared" si="58"/>
        <v>Chaos Dwarf Blocker</v>
      </c>
      <c r="AZ42" s="8" t="str">
        <f>IFERROR((VLOOKUP($BP$1&amp;B39,Teams!D:S,12,0)),0)</f>
        <v>P</v>
      </c>
      <c r="BA42" s="8" t="str">
        <f>IFERROR((VLOOKUP($BP$1&amp;B39,Teams!D:S,13,0)),0)</f>
        <v>S</v>
      </c>
      <c r="BB42" s="8" t="str">
        <f>IFERROR((VLOOKUP($BP$1&amp;B39,Teams!D:S,14,0)),0)</f>
        <v>P</v>
      </c>
      <c r="BC42" s="8">
        <f>IFERROR((VLOOKUP($BP$1&amp;B39,Teams!D:S,15,0)),0)</f>
        <v>0</v>
      </c>
      <c r="BD42" s="8" t="str">
        <f>IFERROR((VLOOKUP($BP$1&amp;B39,Teams!D:S,16,0)),0)</f>
        <v>S</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Chaos Dwarf Flamesmith</v>
      </c>
      <c r="C43" s="254"/>
      <c r="D43" s="314"/>
      <c r="E43" s="315"/>
      <c r="F43" s="314"/>
      <c r="G43" s="315"/>
      <c r="H43" s="314"/>
      <c r="I43" s="341"/>
      <c r="J43" s="341"/>
      <c r="K43" s="315"/>
      <c r="L43" s="314"/>
      <c r="M43" s="315"/>
      <c r="N43" s="314"/>
      <c r="O43" s="315"/>
      <c r="P43" s="314"/>
      <c r="Q43" s="315"/>
      <c r="R43" s="314"/>
      <c r="S43" s="315"/>
      <c r="T43" s="314"/>
      <c r="U43" s="315"/>
      <c r="V43" s="314"/>
      <c r="W43" s="315"/>
      <c r="X43" s="314"/>
      <c r="Y43" s="315"/>
      <c r="Z43" s="314"/>
      <c r="AA43" s="315"/>
      <c r="AB43" s="350">
        <v>0</v>
      </c>
      <c r="AC43" s="351"/>
      <c r="AD43" s="352"/>
      <c r="AE43" s="353"/>
      <c r="AF43" s="352"/>
      <c r="AG43" s="353"/>
      <c r="AH43" s="348">
        <f t="shared" si="56"/>
        <v>0</v>
      </c>
      <c r="AI43" s="349"/>
      <c r="AJ43" s="68">
        <f t="shared" si="57"/>
        <v>0</v>
      </c>
      <c r="AK43" s="67">
        <v>0</v>
      </c>
      <c r="AL43" s="68">
        <v>0</v>
      </c>
      <c r="AM43" s="68">
        <v>0</v>
      </c>
      <c r="AN43" s="68">
        <v>0</v>
      </c>
      <c r="AO43" s="68">
        <v>0</v>
      </c>
      <c r="AP43" s="68">
        <v>0</v>
      </c>
      <c r="AQ43" s="345"/>
      <c r="AR43" s="199"/>
      <c r="AS43" s="199"/>
      <c r="AT43" s="199"/>
      <c r="AU43" s="199"/>
      <c r="AV43" s="199"/>
      <c r="AW43" s="199"/>
      <c r="AX43" s="199"/>
      <c r="AY43" s="8" t="str">
        <f t="shared" si="58"/>
        <v>Chaos Dwarf Blocker</v>
      </c>
      <c r="AZ43" s="8" t="str">
        <f>IFERROR((VLOOKUP($BP$1&amp;B40,Teams!D:S,12,0)),0)</f>
        <v>P</v>
      </c>
      <c r="BA43" s="8" t="str">
        <f>IFERROR((VLOOKUP($BP$1&amp;B40,Teams!D:S,13,0)),0)</f>
        <v>S</v>
      </c>
      <c r="BB43" s="8" t="str">
        <f>IFERROR((VLOOKUP($BP$1&amp;B40,Teams!D:S,14,0)),0)</f>
        <v>P</v>
      </c>
      <c r="BC43" s="8">
        <f>IFERROR((VLOOKUP($BP$1&amp;B40,Teams!D:S,15,0)),0)</f>
        <v>0</v>
      </c>
      <c r="BD43" s="8" t="str">
        <f>IFERROR((VLOOKUP($BP$1&amp;B40,Teams!D:S,16,0)),0)</f>
        <v>S</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f t="shared" si="55"/>
        <v>0</v>
      </c>
      <c r="C44" s="254"/>
      <c r="D44" s="314"/>
      <c r="E44" s="315"/>
      <c r="F44" s="314"/>
      <c r="G44" s="315"/>
      <c r="H44" s="314"/>
      <c r="I44" s="341"/>
      <c r="J44" s="341"/>
      <c r="K44" s="315"/>
      <c r="L44" s="314"/>
      <c r="M44" s="315"/>
      <c r="N44" s="314"/>
      <c r="O44" s="315"/>
      <c r="P44" s="314"/>
      <c r="Q44" s="315"/>
      <c r="R44" s="314"/>
      <c r="S44" s="315"/>
      <c r="T44" s="314"/>
      <c r="U44" s="315"/>
      <c r="V44" s="314"/>
      <c r="W44" s="315"/>
      <c r="X44" s="314"/>
      <c r="Y44" s="315"/>
      <c r="Z44" s="314"/>
      <c r="AA44" s="315"/>
      <c r="AB44" s="350">
        <v>0</v>
      </c>
      <c r="AC44" s="351"/>
      <c r="AD44" s="352"/>
      <c r="AE44" s="353"/>
      <c r="AF44" s="352"/>
      <c r="AG44" s="353"/>
      <c r="AH44" s="348">
        <f t="shared" si="56"/>
        <v>0</v>
      </c>
      <c r="AI44" s="349"/>
      <c r="AJ44" s="68">
        <f t="shared" si="57"/>
        <v>0</v>
      </c>
      <c r="AK44" s="67">
        <v>0</v>
      </c>
      <c r="AL44" s="68">
        <v>0</v>
      </c>
      <c r="AM44" s="68">
        <v>0</v>
      </c>
      <c r="AN44" s="68">
        <v>0</v>
      </c>
      <c r="AO44" s="68">
        <v>0</v>
      </c>
      <c r="AP44" s="68">
        <v>0</v>
      </c>
      <c r="AQ44" s="345"/>
      <c r="AR44" s="199"/>
      <c r="AS44" s="199"/>
      <c r="AT44" s="199"/>
      <c r="AU44" s="199"/>
      <c r="AV44" s="199"/>
      <c r="AW44" s="199"/>
      <c r="AX44" s="199"/>
      <c r="AY44" s="8" t="str">
        <f t="shared" si="58"/>
        <v>Chaos Dwarf Blocker</v>
      </c>
      <c r="AZ44" s="8" t="str">
        <f>IFERROR((VLOOKUP($BP$1&amp;B41,Teams!D:S,12,0)),0)</f>
        <v>P</v>
      </c>
      <c r="BA44" s="8" t="str">
        <f>IFERROR((VLOOKUP($BP$1&amp;B41,Teams!D:S,13,0)),0)</f>
        <v>S</v>
      </c>
      <c r="BB44" s="8" t="str">
        <f>IFERROR((VLOOKUP($BP$1&amp;B41,Teams!D:S,14,0)),0)</f>
        <v>P</v>
      </c>
      <c r="BC44" s="8">
        <f>IFERROR((VLOOKUP($BP$1&amp;B41,Teams!D:S,15,0)),0)</f>
        <v>0</v>
      </c>
      <c r="BD44" s="8" t="str">
        <f>IFERROR((VLOOKUP($BP$1&amp;B41,Teams!D:S,16,0)),0)</f>
        <v>S</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Hobgoblin Lineman</v>
      </c>
      <c r="C45" s="254"/>
      <c r="D45" s="314"/>
      <c r="E45" s="315"/>
      <c r="F45" s="314"/>
      <c r="G45" s="315"/>
      <c r="H45" s="314"/>
      <c r="I45" s="341"/>
      <c r="J45" s="341"/>
      <c r="K45" s="315"/>
      <c r="L45" s="314"/>
      <c r="M45" s="315"/>
      <c r="N45" s="314"/>
      <c r="O45" s="315"/>
      <c r="P45" s="314"/>
      <c r="Q45" s="315"/>
      <c r="R45" s="314"/>
      <c r="S45" s="315"/>
      <c r="T45" s="314"/>
      <c r="U45" s="315"/>
      <c r="V45" s="314"/>
      <c r="W45" s="315"/>
      <c r="X45" s="314"/>
      <c r="Y45" s="315"/>
      <c r="Z45" s="314"/>
      <c r="AA45" s="315"/>
      <c r="AB45" s="350">
        <v>0</v>
      </c>
      <c r="AC45" s="351"/>
      <c r="AD45" s="352"/>
      <c r="AE45" s="353"/>
      <c r="AF45" s="352"/>
      <c r="AG45" s="353"/>
      <c r="AH45" s="348">
        <f t="shared" si="56"/>
        <v>0</v>
      </c>
      <c r="AI45" s="349"/>
      <c r="AJ45" s="68">
        <f t="shared" si="57"/>
        <v>0</v>
      </c>
      <c r="AK45" s="67">
        <v>0</v>
      </c>
      <c r="AL45" s="68">
        <v>0</v>
      </c>
      <c r="AM45" s="68">
        <v>0</v>
      </c>
      <c r="AN45" s="68">
        <v>0</v>
      </c>
      <c r="AO45" s="68">
        <v>0</v>
      </c>
      <c r="AP45" s="68">
        <v>0</v>
      </c>
      <c r="AQ45" s="345"/>
      <c r="AR45" s="199"/>
      <c r="AS45" s="199"/>
      <c r="AT45" s="199"/>
      <c r="AU45" s="199"/>
      <c r="AV45" s="199"/>
      <c r="AW45" s="199"/>
      <c r="AX45" s="199"/>
      <c r="AY45" s="8" t="str">
        <f t="shared" si="58"/>
        <v>Chaos Dwarf Blocker</v>
      </c>
      <c r="AZ45" s="8" t="str">
        <f>IFERROR((VLOOKUP($BP$1&amp;B42,Teams!D:S,12,0)),0)</f>
        <v>P</v>
      </c>
      <c r="BA45" s="8" t="str">
        <f>IFERROR((VLOOKUP($BP$1&amp;B42,Teams!D:S,13,0)),0)</f>
        <v>S</v>
      </c>
      <c r="BB45" s="8" t="str">
        <f>IFERROR((VLOOKUP($BP$1&amp;B42,Teams!D:S,14,0)),0)</f>
        <v>P</v>
      </c>
      <c r="BC45" s="8">
        <f>IFERROR((VLOOKUP($BP$1&amp;B42,Teams!D:S,15,0)),0)</f>
        <v>0</v>
      </c>
      <c r="BD45" s="8" t="str">
        <f>IFERROR((VLOOKUP($BP$1&amp;B42,Teams!D:S,16,0)),0)</f>
        <v>S</v>
      </c>
      <c r="BE45" s="8">
        <v>20000</v>
      </c>
      <c r="BF45" s="8">
        <v>10000</v>
      </c>
      <c r="BG45" s="8">
        <v>40000</v>
      </c>
      <c r="BH45" s="8">
        <v>20000</v>
      </c>
      <c r="BI45" s="8">
        <v>80000</v>
      </c>
      <c r="BJ45" s="8">
        <f t="shared" si="87"/>
        <v>20000</v>
      </c>
      <c r="BK45" s="197"/>
      <c r="BL45" s="8" t="str">
        <f t="shared" si="88"/>
        <v>S</v>
      </c>
      <c r="BM45" s="8">
        <f t="shared" si="89"/>
        <v>0</v>
      </c>
      <c r="BN45" s="8">
        <f t="shared" si="90"/>
        <v>0</v>
      </c>
      <c r="BO45" s="8">
        <f t="shared" si="91"/>
        <v>0</v>
      </c>
      <c r="BP45" s="8">
        <f t="shared" si="92"/>
        <v>0</v>
      </c>
      <c r="BQ45" s="8">
        <f t="shared" si="93"/>
        <v>0</v>
      </c>
      <c r="BR45"/>
      <c r="BS45"/>
      <c r="BT45" s="8" t="str">
        <f t="shared" si="94"/>
        <v>P</v>
      </c>
      <c r="BU45" s="8">
        <f t="shared" si="59"/>
        <v>0</v>
      </c>
      <c r="BV45" s="8">
        <f t="shared" si="60"/>
        <v>0</v>
      </c>
      <c r="BW45" s="8">
        <f t="shared" si="61"/>
        <v>0</v>
      </c>
      <c r="BX45" s="8">
        <f t="shared" si="62"/>
        <v>0</v>
      </c>
      <c r="BY45" s="8">
        <f t="shared" si="63"/>
        <v>0</v>
      </c>
      <c r="BZ45" s="8"/>
      <c r="CA45" s="8" t="str">
        <f t="shared" si="64"/>
        <v>Chosen</v>
      </c>
      <c r="CB45" s="8">
        <f t="shared" si="65"/>
        <v>0</v>
      </c>
      <c r="CC45" s="8">
        <f t="shared" si="66"/>
        <v>0</v>
      </c>
      <c r="CD45" s="8">
        <f t="shared" si="67"/>
        <v>0</v>
      </c>
      <c r="CE45" s="8">
        <f t="shared" si="68"/>
        <v>0</v>
      </c>
      <c r="CF45" s="8">
        <f t="shared" si="69"/>
        <v>0</v>
      </c>
      <c r="CG45" s="8"/>
      <c r="CH45" s="8">
        <f t="shared" si="95"/>
        <v>20000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6</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Hobgoblin Lineman</v>
      </c>
      <c r="C46" s="254"/>
      <c r="D46" s="314"/>
      <c r="E46" s="315"/>
      <c r="F46" s="314"/>
      <c r="G46" s="315"/>
      <c r="H46" s="314"/>
      <c r="I46" s="341"/>
      <c r="J46" s="341"/>
      <c r="K46" s="315"/>
      <c r="L46" s="314"/>
      <c r="M46" s="315"/>
      <c r="N46" s="314"/>
      <c r="O46" s="315"/>
      <c r="P46" s="314"/>
      <c r="Q46" s="315"/>
      <c r="R46" s="314"/>
      <c r="S46" s="315"/>
      <c r="T46" s="314"/>
      <c r="U46" s="315"/>
      <c r="V46" s="314"/>
      <c r="W46" s="315"/>
      <c r="X46" s="314"/>
      <c r="Y46" s="315"/>
      <c r="Z46" s="314"/>
      <c r="AA46" s="315"/>
      <c r="AB46" s="350">
        <v>0</v>
      </c>
      <c r="AC46" s="351"/>
      <c r="AD46" s="352"/>
      <c r="AE46" s="353"/>
      <c r="AF46" s="352"/>
      <c r="AG46" s="353"/>
      <c r="AH46" s="348">
        <f t="shared" si="56"/>
        <v>0</v>
      </c>
      <c r="AI46" s="349"/>
      <c r="AJ46" s="68">
        <f t="shared" si="57"/>
        <v>0</v>
      </c>
      <c r="AK46" s="67">
        <v>0</v>
      </c>
      <c r="AL46" s="68">
        <v>0</v>
      </c>
      <c r="AM46" s="68">
        <v>0</v>
      </c>
      <c r="AN46" s="68">
        <v>0</v>
      </c>
      <c r="AO46" s="68">
        <v>0</v>
      </c>
      <c r="AP46" s="68">
        <v>0</v>
      </c>
      <c r="AQ46" s="345"/>
      <c r="AR46" s="199"/>
      <c r="AS46" s="199"/>
      <c r="AT46" s="199"/>
      <c r="AU46" s="199"/>
      <c r="AV46" s="199"/>
      <c r="AW46" s="199"/>
      <c r="AX46" s="199"/>
      <c r="AY46" s="8" t="str">
        <f t="shared" si="58"/>
        <v>Chaos Dwarf Flamesmith</v>
      </c>
      <c r="AZ46" s="8" t="str">
        <f>IFERROR((VLOOKUP($BP$1&amp;B43,Teams!D:S,12,0)),0)</f>
        <v>P</v>
      </c>
      <c r="BA46" s="8" t="str">
        <f>IFERROR((VLOOKUP($BP$1&amp;B43,Teams!D:S,13,0)),0)</f>
        <v>S</v>
      </c>
      <c r="BB46" s="8" t="str">
        <f>IFERROR((VLOOKUP($BP$1&amp;B43,Teams!D:S,14,0)),0)</f>
        <v>P</v>
      </c>
      <c r="BC46" s="8">
        <f>IFERROR((VLOOKUP($BP$1&amp;B43,Teams!D:S,15,0)),0)</f>
        <v>0</v>
      </c>
      <c r="BD46" s="8" t="str">
        <f>IFERROR((VLOOKUP($BP$1&amp;B43,Teams!D:S,16,0)),0)</f>
        <v>S</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Hobgoblin Lineman</v>
      </c>
      <c r="C47" s="254"/>
      <c r="D47" s="314"/>
      <c r="E47" s="315"/>
      <c r="F47" s="314"/>
      <c r="G47" s="315"/>
      <c r="H47" s="314"/>
      <c r="I47" s="341"/>
      <c r="J47" s="341"/>
      <c r="K47" s="315"/>
      <c r="L47" s="314"/>
      <c r="M47" s="315"/>
      <c r="N47" s="314"/>
      <c r="O47" s="315"/>
      <c r="P47" s="314"/>
      <c r="Q47" s="315"/>
      <c r="R47" s="314"/>
      <c r="S47" s="315"/>
      <c r="T47" s="314"/>
      <c r="U47" s="315"/>
      <c r="V47" s="314"/>
      <c r="W47" s="315"/>
      <c r="X47" s="314"/>
      <c r="Y47" s="315"/>
      <c r="Z47" s="314"/>
      <c r="AA47" s="315"/>
      <c r="AB47" s="350">
        <v>0</v>
      </c>
      <c r="AC47" s="351"/>
      <c r="AD47" s="352"/>
      <c r="AE47" s="353"/>
      <c r="AF47" s="352"/>
      <c r="AG47" s="353"/>
      <c r="AH47" s="348">
        <f t="shared" si="56"/>
        <v>0</v>
      </c>
      <c r="AI47" s="349"/>
      <c r="AJ47" s="68">
        <f t="shared" si="57"/>
        <v>0</v>
      </c>
      <c r="AK47" s="67">
        <v>0</v>
      </c>
      <c r="AL47" s="68">
        <v>0</v>
      </c>
      <c r="AM47" s="68">
        <v>0</v>
      </c>
      <c r="AN47" s="68">
        <v>0</v>
      </c>
      <c r="AO47" s="68">
        <v>0</v>
      </c>
      <c r="AP47" s="68">
        <v>0</v>
      </c>
      <c r="AQ47" s="345"/>
      <c r="AR47" s="199"/>
      <c r="AS47" s="199"/>
      <c r="AT47" s="199"/>
      <c r="AU47" s="199"/>
      <c r="AV47" s="199"/>
      <c r="AW47" s="199"/>
      <c r="AX47" s="199"/>
      <c r="AY47" s="8">
        <f t="shared" si="58"/>
        <v>0</v>
      </c>
      <c r="AZ47" s="8">
        <f>IFERROR((VLOOKUP($BP$1&amp;B44,Teams!D:S,12,0)),0)</f>
        <v>0</v>
      </c>
      <c r="BA47" s="8">
        <f>IFERROR((VLOOKUP($BP$1&amp;B44,Teams!D:S,13,0)),0)</f>
        <v>0</v>
      </c>
      <c r="BB47" s="8">
        <f>IFERROR((VLOOKUP($BP$1&amp;B44,Teams!D:S,14,0)),0)</f>
        <v>0</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Hobgoblin Lineman</v>
      </c>
      <c r="C48" s="254"/>
      <c r="D48" s="314"/>
      <c r="E48" s="315"/>
      <c r="F48" s="314"/>
      <c r="G48" s="315"/>
      <c r="H48" s="314"/>
      <c r="I48" s="341"/>
      <c r="J48" s="341"/>
      <c r="K48" s="315"/>
      <c r="L48" s="314"/>
      <c r="M48" s="315"/>
      <c r="N48" s="314"/>
      <c r="O48" s="315"/>
      <c r="P48" s="314"/>
      <c r="Q48" s="315"/>
      <c r="R48" s="314"/>
      <c r="S48" s="315"/>
      <c r="T48" s="314"/>
      <c r="U48" s="315"/>
      <c r="V48" s="314"/>
      <c r="W48" s="315"/>
      <c r="X48" s="314"/>
      <c r="Y48" s="315"/>
      <c r="Z48" s="314"/>
      <c r="AA48" s="315"/>
      <c r="AB48" s="350">
        <v>0</v>
      </c>
      <c r="AC48" s="351"/>
      <c r="AD48" s="352"/>
      <c r="AE48" s="353"/>
      <c r="AF48" s="352"/>
      <c r="AG48" s="353"/>
      <c r="AH48" s="348">
        <f t="shared" si="56"/>
        <v>0</v>
      </c>
      <c r="AI48" s="349"/>
      <c r="AJ48" s="68">
        <f t="shared" si="57"/>
        <v>0</v>
      </c>
      <c r="AK48" s="67">
        <v>0</v>
      </c>
      <c r="AL48" s="68">
        <v>0</v>
      </c>
      <c r="AM48" s="68">
        <v>0</v>
      </c>
      <c r="AN48" s="68">
        <v>0</v>
      </c>
      <c r="AO48" s="68">
        <v>0</v>
      </c>
      <c r="AP48" s="68">
        <v>0</v>
      </c>
      <c r="AQ48" s="345"/>
      <c r="AR48" s="199"/>
      <c r="AS48" s="199"/>
      <c r="AT48" s="199"/>
      <c r="AU48" s="199"/>
      <c r="AV48" s="199"/>
      <c r="AW48" s="199"/>
      <c r="AX48" s="199"/>
      <c r="AY48" s="8" t="str">
        <f t="shared" si="58"/>
        <v>Hobgoblin Lineman</v>
      </c>
      <c r="AZ48" s="8" t="str">
        <f>IFERROR((VLOOKUP($BP$1&amp;B45,Teams!D:S,12,0)),0)</f>
        <v>P</v>
      </c>
      <c r="BA48" s="8" t="str">
        <f>IFERROR((VLOOKUP($BP$1&amp;B45,Teams!D:S,13,0)),0)</f>
        <v>S</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Minotaur</v>
      </c>
      <c r="C49" s="254"/>
      <c r="D49" s="314"/>
      <c r="E49" s="315"/>
      <c r="F49" s="314"/>
      <c r="G49" s="315"/>
      <c r="H49" s="314"/>
      <c r="I49" s="341"/>
      <c r="J49" s="341"/>
      <c r="K49" s="315"/>
      <c r="L49" s="314"/>
      <c r="M49" s="315"/>
      <c r="N49" s="314"/>
      <c r="O49" s="315"/>
      <c r="P49" s="314"/>
      <c r="Q49" s="315"/>
      <c r="R49" s="314"/>
      <c r="S49" s="315"/>
      <c r="T49" s="314"/>
      <c r="U49" s="315"/>
      <c r="V49" s="314"/>
      <c r="W49" s="315"/>
      <c r="X49" s="314"/>
      <c r="Y49" s="315"/>
      <c r="Z49" s="314"/>
      <c r="AA49" s="315"/>
      <c r="AB49" s="350">
        <v>0</v>
      </c>
      <c r="AC49" s="351"/>
      <c r="AD49" s="352"/>
      <c r="AE49" s="353"/>
      <c r="AF49" s="352"/>
      <c r="AG49" s="353"/>
      <c r="AH49" s="348">
        <f t="shared" si="56"/>
        <v>0</v>
      </c>
      <c r="AI49" s="349"/>
      <c r="AJ49" s="68">
        <f t="shared" si="57"/>
        <v>0</v>
      </c>
      <c r="AK49" s="67">
        <v>0</v>
      </c>
      <c r="AL49" s="68">
        <v>0</v>
      </c>
      <c r="AM49" s="68">
        <v>0</v>
      </c>
      <c r="AN49" s="68">
        <v>0</v>
      </c>
      <c r="AO49" s="68">
        <v>0</v>
      </c>
      <c r="AP49" s="68">
        <v>0</v>
      </c>
      <c r="AQ49" s="345"/>
      <c r="AR49" s="199"/>
      <c r="AS49" s="199"/>
      <c r="AT49" s="199"/>
      <c r="AU49" s="199"/>
      <c r="AV49" s="199"/>
      <c r="AW49" s="199"/>
      <c r="AX49" s="199"/>
      <c r="AY49" s="8" t="str">
        <f t="shared" si="58"/>
        <v>Hobgoblin Lineman</v>
      </c>
      <c r="AZ49" s="8" t="str">
        <f>IFERROR((VLOOKUP($BP$1&amp;B46,Teams!D:S,12,0)),0)</f>
        <v>P</v>
      </c>
      <c r="BA49" s="8" t="str">
        <f>IFERROR((VLOOKUP($BP$1&amp;B46,Teams!D:S,13,0)),0)</f>
        <v>S</v>
      </c>
      <c r="BB49" s="8" t="str">
        <f>IFERROR((VLOOKUP($BP$1&amp;B46,Teams!D:S,14,0)),0)</f>
        <v>S</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4"/>
      <c r="D50" s="314"/>
      <c r="E50" s="315"/>
      <c r="F50" s="314"/>
      <c r="G50" s="315"/>
      <c r="H50" s="314"/>
      <c r="I50" s="341"/>
      <c r="J50" s="341"/>
      <c r="K50" s="315"/>
      <c r="L50" s="314"/>
      <c r="M50" s="315"/>
      <c r="N50" s="314"/>
      <c r="O50" s="315"/>
      <c r="P50" s="314"/>
      <c r="Q50" s="315"/>
      <c r="R50" s="314"/>
      <c r="S50" s="315"/>
      <c r="T50" s="314"/>
      <c r="U50" s="315"/>
      <c r="V50" s="314"/>
      <c r="W50" s="315"/>
      <c r="X50" s="314"/>
      <c r="Y50" s="315"/>
      <c r="Z50" s="314"/>
      <c r="AA50" s="315"/>
      <c r="AB50" s="350">
        <v>0</v>
      </c>
      <c r="AC50" s="351"/>
      <c r="AD50" s="352"/>
      <c r="AE50" s="353"/>
      <c r="AF50" s="352"/>
      <c r="AG50" s="353"/>
      <c r="AH50" s="348">
        <f t="shared" si="56"/>
        <v>0</v>
      </c>
      <c r="AI50" s="349"/>
      <c r="AJ50" s="68">
        <f t="shared" si="57"/>
        <v>0</v>
      </c>
      <c r="AK50" s="67">
        <v>0</v>
      </c>
      <c r="AL50" s="68">
        <v>0</v>
      </c>
      <c r="AM50" s="68">
        <v>0</v>
      </c>
      <c r="AN50" s="68">
        <v>0</v>
      </c>
      <c r="AO50" s="68">
        <v>0</v>
      </c>
      <c r="AP50" s="68">
        <v>0</v>
      </c>
      <c r="AQ50" s="345"/>
      <c r="AR50" s="199"/>
      <c r="AS50" s="199"/>
      <c r="AT50" s="199"/>
      <c r="AU50" s="199"/>
      <c r="AV50" s="199"/>
      <c r="AW50" s="199"/>
      <c r="AX50" s="199"/>
      <c r="AY50" s="8" t="str">
        <f t="shared" si="58"/>
        <v>Hobgoblin Lineman</v>
      </c>
      <c r="AZ50" s="8" t="str">
        <f>IFERROR((VLOOKUP($BP$1&amp;B47,Teams!D:S,12,0)),0)</f>
        <v>P</v>
      </c>
      <c r="BA50" s="8" t="str">
        <f>IFERROR((VLOOKUP($BP$1&amp;B47,Teams!D:S,13,0)),0)</f>
        <v>S</v>
      </c>
      <c r="BB50" s="8" t="str">
        <f>IFERROR((VLOOKUP($BP$1&amp;B47,Teams!D:S,14,0)),0)</f>
        <v>S</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4"/>
      <c r="D51" s="314"/>
      <c r="E51" s="315"/>
      <c r="F51" s="314"/>
      <c r="G51" s="315"/>
      <c r="H51" s="314"/>
      <c r="I51" s="341"/>
      <c r="J51" s="341"/>
      <c r="K51" s="315"/>
      <c r="L51" s="314"/>
      <c r="M51" s="315"/>
      <c r="N51" s="314"/>
      <c r="O51" s="315"/>
      <c r="P51" s="314"/>
      <c r="Q51" s="315"/>
      <c r="R51" s="314"/>
      <c r="S51" s="315"/>
      <c r="T51" s="314"/>
      <c r="U51" s="315"/>
      <c r="V51" s="314"/>
      <c r="W51" s="315"/>
      <c r="X51" s="314"/>
      <c r="Y51" s="315"/>
      <c r="Z51" s="314"/>
      <c r="AA51" s="315"/>
      <c r="AB51" s="350">
        <v>0</v>
      </c>
      <c r="AC51" s="351"/>
      <c r="AD51" s="352"/>
      <c r="AE51" s="353"/>
      <c r="AF51" s="352"/>
      <c r="AG51" s="353"/>
      <c r="AH51" s="348">
        <f t="shared" si="56"/>
        <v>0</v>
      </c>
      <c r="AI51" s="349"/>
      <c r="AJ51" s="68">
        <f t="shared" si="57"/>
        <v>0</v>
      </c>
      <c r="AK51" s="67">
        <v>0</v>
      </c>
      <c r="AL51" s="68">
        <v>0</v>
      </c>
      <c r="AM51" s="68">
        <v>0</v>
      </c>
      <c r="AN51" s="68">
        <v>0</v>
      </c>
      <c r="AO51" s="68">
        <v>0</v>
      </c>
      <c r="AP51" s="68">
        <v>0</v>
      </c>
      <c r="AQ51" s="345"/>
      <c r="AR51" s="199"/>
      <c r="AS51" s="199"/>
      <c r="AT51" s="199"/>
      <c r="AU51" s="199"/>
      <c r="AV51" s="199"/>
      <c r="AW51" s="199"/>
      <c r="AX51" s="199"/>
      <c r="AY51" s="8" t="str">
        <f t="shared" si="58"/>
        <v>Hobgoblin Lineman</v>
      </c>
      <c r="AZ51" s="8" t="str">
        <f>IFERROR((VLOOKUP($BP$1&amp;B48,Teams!D:S,12,0)),0)</f>
        <v>P</v>
      </c>
      <c r="BA51" s="8" t="str">
        <f>IFERROR((VLOOKUP($BP$1&amp;B48,Teams!D:S,13,0)),0)</f>
        <v>S</v>
      </c>
      <c r="BB51" s="8" t="str">
        <f>IFERROR((VLOOKUP($BP$1&amp;B48,Teams!D:S,14,0)),0)</f>
        <v>S</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5"/>
      <c r="D52" s="361"/>
      <c r="E52" s="362"/>
      <c r="F52" s="361"/>
      <c r="G52" s="362"/>
      <c r="H52" s="314"/>
      <c r="I52" s="341"/>
      <c r="J52" s="341"/>
      <c r="K52" s="315"/>
      <c r="L52" s="361"/>
      <c r="M52" s="362"/>
      <c r="N52" s="314"/>
      <c r="O52" s="315"/>
      <c r="P52" s="361"/>
      <c r="Q52" s="362"/>
      <c r="R52" s="314"/>
      <c r="S52" s="315"/>
      <c r="T52" s="361"/>
      <c r="U52" s="362"/>
      <c r="V52" s="314"/>
      <c r="W52" s="315"/>
      <c r="X52" s="361"/>
      <c r="Y52" s="362"/>
      <c r="Z52" s="314"/>
      <c r="AA52" s="315"/>
      <c r="AB52" s="350">
        <v>0</v>
      </c>
      <c r="AC52" s="351"/>
      <c r="AD52" s="352"/>
      <c r="AE52" s="353"/>
      <c r="AF52" s="352"/>
      <c r="AG52" s="353"/>
      <c r="AH52" s="348">
        <f t="shared" si="56"/>
        <v>0</v>
      </c>
      <c r="AI52" s="349"/>
      <c r="AJ52" s="68">
        <f>IFERROR((SUM(CV55:DA55)+AF52),0)</f>
        <v>0</v>
      </c>
      <c r="AK52" s="69">
        <v>0</v>
      </c>
      <c r="AL52" s="68">
        <v>0</v>
      </c>
      <c r="AM52" s="68">
        <v>0</v>
      </c>
      <c r="AN52" s="68">
        <v>0</v>
      </c>
      <c r="AO52" s="68">
        <v>0</v>
      </c>
      <c r="AP52" s="68">
        <v>0</v>
      </c>
      <c r="AQ52" s="345"/>
      <c r="AR52" s="199"/>
      <c r="AS52" s="199"/>
      <c r="AT52" s="199"/>
      <c r="AU52" s="199"/>
      <c r="AV52" s="199"/>
      <c r="AW52" s="199"/>
      <c r="AX52" s="199"/>
      <c r="AY52" s="8" t="str">
        <f t="shared" si="58"/>
        <v>Minotaur</v>
      </c>
      <c r="AZ52" s="8" t="str">
        <f>IFERROR((VLOOKUP($BP$1&amp;B49,Teams!D:S,12,0)),0)</f>
        <v>S</v>
      </c>
      <c r="BA52" s="8" t="str">
        <f>IFERROR((VLOOKUP($BP$1&amp;B49,Teams!D:S,13,0)),0)</f>
        <v>S</v>
      </c>
      <c r="BB52" s="8" t="str">
        <f>IFERROR((VLOOKUP($BP$1&amp;B49,Teams!D:S,14,0)),0)</f>
        <v>S</v>
      </c>
      <c r="BC52" s="8">
        <f>IFERROR((VLOOKUP($BP$1&amp;B49,Teams!D:S,15,0)),0)</f>
        <v>0</v>
      </c>
      <c r="BD52" s="8" t="str">
        <f>IFERROR((VLOOKUP($BP$1&amp;B49,Teams!D:S,16,0)),0)</f>
        <v>S</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44"/>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5"/>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v>
      </c>
      <c r="CI57" s="8" t="str">
        <f>VLOOKUP(CI58,Teams!$D:$T,17,FALSE)</f>
        <v>P</v>
      </c>
      <c r="CJ57" s="8" t="str">
        <f>VLOOKUP(CJ58,Teams!$D:$T,17,FALSE)</f>
        <v>P</v>
      </c>
      <c r="CK57" s="8" t="str">
        <f>VLOOKUP(CK58,Teams!$D:$T,17,FALSE)</f>
        <v>P</v>
      </c>
      <c r="CL57" s="8" t="str">
        <f>VLOOKUP(CL58,Teams!$D:$T,17,FALSE)</f>
        <v>P</v>
      </c>
      <c r="CM57" s="8" t="str">
        <f>VLOOKUP(CM58,Teams!$D:$T,17,FALSE)</f>
        <v>P</v>
      </c>
      <c r="CN57" s="8" t="str">
        <f>VLOOKUP(CN58,Teams!$D:$T,17,FALSE)</f>
        <v>P</v>
      </c>
      <c r="CO57" s="8">
        <f>VLOOKUP(CO58,Teams!$D:$T,17,FALSE)</f>
        <v>0</v>
      </c>
      <c r="CP57" s="8" t="str">
        <f>VLOOKUP(CP58,Teams!$D:$T,17,FALSE)</f>
        <v>PM</v>
      </c>
      <c r="CQ57" s="8" t="str">
        <f>VLOOKUP(CQ58,Teams!$D:$T,17,FALSE)</f>
        <v>PM</v>
      </c>
      <c r="CR57" s="8" t="str">
        <f>VLOOKUP(CR58,Teams!$D:$T,17,FALSE)</f>
        <v>PM</v>
      </c>
      <c r="CS57" s="8" t="str">
        <f>VLOOKUP(CS58,Teams!$D:$T,17,FALSE)</f>
        <v>PM</v>
      </c>
      <c r="CT57" s="8" t="str">
        <f>VLOOKUP(CT58,Teams!$D:$T,17,FALSE)</f>
        <v>S</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Chaos Dwarf GWBull Centaur Blitzer</v>
      </c>
      <c r="CI58" s="224" t="str">
        <f>$BP$1&amp;$D3</f>
        <v>Chaos Dwarf GWBull Centaur Blitzer</v>
      </c>
      <c r="CJ58" s="224" t="str">
        <f>$BP$1&amp;$D4</f>
        <v>Chaos Dwarf GWChaos Dwarf Blocker</v>
      </c>
      <c r="CK58" s="224" t="str">
        <f>$BP$1&amp;$D5</f>
        <v>Chaos Dwarf GWChaos Dwarf Blocker</v>
      </c>
      <c r="CL58" s="224" t="str">
        <f>$BP$1&amp;$D6</f>
        <v>Chaos Dwarf GWChaos Dwarf Blocker</v>
      </c>
      <c r="CM58" s="224" t="str">
        <f>$BP$1&amp;$D7</f>
        <v>Chaos Dwarf GWChaos Dwarf Blocker</v>
      </c>
      <c r="CN58" s="224" t="str">
        <f>$BP$1&amp;$D8</f>
        <v>Chaos Dwarf GWChaos Dwarf Flamesmith</v>
      </c>
      <c r="CO58" s="224" t="str">
        <f>$BP$1&amp;$D9</f>
        <v>Chaos Dwarf GW</v>
      </c>
      <c r="CP58" s="224" t="str">
        <f>$BP$1&amp;$D10</f>
        <v>Chaos Dwarf GWHobgoblin Lineman</v>
      </c>
      <c r="CQ58" s="224" t="str">
        <f>$BP$1&amp;$D11</f>
        <v>Chaos Dwarf GWHobgoblin Lineman</v>
      </c>
      <c r="CR58" s="224" t="str">
        <f>$BP$1&amp;$D12</f>
        <v>Chaos Dwarf GWHobgoblin Lineman</v>
      </c>
      <c r="CS58" s="224" t="str">
        <f>$BP$1&amp;$D13</f>
        <v>Chaos Dwarf GWHobgoblin Lineman</v>
      </c>
      <c r="CT58" s="224" t="str">
        <f>$BP$1&amp;$D14</f>
        <v>Chaos Dwarf GWMinotaur</v>
      </c>
      <c r="CU58" s="224" t="str">
        <f>$BP$1&amp;$D15</f>
        <v>Chaos Dwarf GW</v>
      </c>
      <c r="CV58" s="224" t="str">
        <f>$BP$1&amp;$D16</f>
        <v>Chaos Dwarf GW</v>
      </c>
      <c r="CW58" s="224" t="str">
        <f>$BP$1&amp;$D17</f>
        <v>Chaos Dwarf GW</v>
      </c>
      <c r="DA58" s="8"/>
    </row>
    <row r="59" spans="1:107" ht="15" hidden="1" customHeight="1" x14ac:dyDescent="0.2">
      <c r="A59" s="8"/>
      <c r="B59" s="396" t="s">
        <v>213</v>
      </c>
      <c r="C59" s="396"/>
      <c r="D59" s="384"/>
      <c r="E59" s="384"/>
      <c r="F59" s="384"/>
      <c r="G59" s="384"/>
      <c r="H59" s="8"/>
      <c r="I59" s="8"/>
      <c r="J59" s="8"/>
      <c r="K59" s="8"/>
      <c r="L59" s="396" t="s">
        <v>214</v>
      </c>
      <c r="M59" s="384"/>
      <c r="N59" s="384"/>
      <c r="O59" s="384"/>
      <c r="P59" s="384"/>
      <c r="Q59" s="8"/>
      <c r="R59" s="396" t="s">
        <v>215</v>
      </c>
      <c r="S59" s="384"/>
      <c r="T59" s="384"/>
      <c r="U59" s="384"/>
      <c r="V59" s="384"/>
      <c r="W59" s="8"/>
      <c r="X59" s="396" t="s">
        <v>216</v>
      </c>
      <c r="Y59" s="384"/>
      <c r="Z59" s="384"/>
      <c r="AA59" s="384"/>
      <c r="AB59" s="384"/>
      <c r="AC59" s="8"/>
      <c r="AD59" s="396" t="s">
        <v>217</v>
      </c>
      <c r="AE59" s="384"/>
      <c r="AF59" s="384"/>
      <c r="AG59" s="384"/>
      <c r="AH59" s="384"/>
      <c r="AI59" s="8"/>
      <c r="AJ59" s="8"/>
      <c r="AK59" s="8"/>
      <c r="AL59" s="396" t="s">
        <v>218</v>
      </c>
      <c r="AM59" s="384"/>
      <c r="AN59" s="384"/>
      <c r="AO59" s="384"/>
      <c r="AP59" s="384"/>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00" t="s">
        <v>225</v>
      </c>
      <c r="BU59" s="400"/>
      <c r="BV59" s="400" t="s">
        <v>199</v>
      </c>
      <c r="BW59" s="400"/>
      <c r="BX59" s="400" t="s">
        <v>200</v>
      </c>
      <c r="BY59" s="400"/>
      <c r="BZ59" s="400" t="s">
        <v>226</v>
      </c>
      <c r="CA59" s="400"/>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95" t="str">
        <f>IF(K31&lt;0,(IF(K25="Italiano","AVETE SPESO TROPPO!   ",IF(K25="Español","¡HAS GASTADO DEMASIADO!   ",(IF(K25="Deutsch","ZU VIEL AUSGEGEBEN!   ",(IF(K25="Français","TU DÉPENSES TROP!   ","YOU HAVE EXPENT TOO MUCH!   "))))))),"")</f>
        <v/>
      </c>
      <c r="C60" s="395"/>
      <c r="D60" s="384"/>
      <c r="E60" s="384"/>
      <c r="F60" s="384"/>
      <c r="G60" s="384"/>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3</v>
      </c>
      <c r="AZ60" s="8">
        <f>COUNTIF(BT40:BY55,"S")</f>
        <v>0</v>
      </c>
      <c r="BA60" s="8">
        <f>AY60+AZ60</f>
        <v>3</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50000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6</v>
      </c>
      <c r="M61" s="7">
        <f t="shared" ref="M61:M76" si="116">IF(S61=0,0,(IF(S61&gt;8,8,(IF(S61&lt;1,1,S61)))))</f>
        <v>4</v>
      </c>
      <c r="N61" s="7">
        <f t="shared" ref="N61:O61" si="117">IF(T61=0,0,(IF(T61&gt;6,6,(IF(T61&lt;1,1,T61)))))</f>
        <v>4</v>
      </c>
      <c r="O61" s="7">
        <f t="shared" si="117"/>
        <v>6</v>
      </c>
      <c r="P61" s="7">
        <f t="shared" ref="P61:P76" si="118">IF(V61=0,0,(IF(V61&gt;11,11,(IF(V61&lt;3,3,V61)))))</f>
        <v>10</v>
      </c>
      <c r="Q61" s="8"/>
      <c r="R61" s="7">
        <f>IFERROR((VLOOKUP($BP$1&amp;D2,Teams!D:M,2,0)+AL61+AD61),0)</f>
        <v>6</v>
      </c>
      <c r="S61" s="7">
        <f>IFERROR((VLOOKUP($BP$1&amp;D2,Teams!D:M,3,0)+AM61+AE61),0)</f>
        <v>4</v>
      </c>
      <c r="T61" s="7">
        <f>IFERROR((VLOOKUP($BP$1&amp;D2,Teams!D:M,4,0)+AN61-AF61),0)</f>
        <v>4</v>
      </c>
      <c r="U61" s="7">
        <f>IFERROR((VLOOKUP($BP$1&amp;D2,Teams!D:M,5,0)+AO61-AG61),0)</f>
        <v>6</v>
      </c>
      <c r="V61" s="7">
        <f>IFERROR((VLOOKUP($BP$1&amp;D2,Teams!D:M,6,0)+AP61+AH61),0)</f>
        <v>10</v>
      </c>
      <c r="W61" s="8"/>
      <c r="X61" s="8">
        <f>IFERROR((VLOOKUP($BP$1&amp;D2,Teams!D:M,2,0)),0)</f>
        <v>6</v>
      </c>
      <c r="Y61" s="8">
        <f>IFERROR((VLOOKUP($BP$1&amp;D2,Teams!D:M,3,0)),0)</f>
        <v>4</v>
      </c>
      <c r="Z61" s="8">
        <f>IFERROR((VLOOKUP($BP$1&amp;D2,Teams!D:M,4,0)),0)</f>
        <v>4</v>
      </c>
      <c r="AA61" s="8">
        <f>IFERROR((VLOOKUP($BP$1&amp;D2,Teams!D:M,5,0)),0)</f>
        <v>6</v>
      </c>
      <c r="AB61" s="8">
        <f>IFERROR((VLOOKUP($BP$1&amp;D2,Teams!D:M,6,0)),0)</f>
        <v>10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0</v>
      </c>
      <c r="BG61" s="55"/>
      <c r="BI61" s="203" t="s">
        <v>1207</v>
      </c>
      <c r="BJ61" s="55">
        <f>IFERROR((IF(OR(COUNTIF($BV$2,"*Favouredof*"),COUNTIF($BV$2,"*UnderworldChallenge*")),150000,0)),0)</f>
        <v>150000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6</v>
      </c>
      <c r="M62" s="8">
        <f t="shared" si="116"/>
        <v>4</v>
      </c>
      <c r="N62" s="8">
        <f t="shared" ref="N62:O62" si="143">IF(T62=0,0,(IF(T62&gt;6,6,(IF(T62&lt;1,1,T62)))))</f>
        <v>4</v>
      </c>
      <c r="O62" s="8">
        <f t="shared" si="143"/>
        <v>6</v>
      </c>
      <c r="P62" s="8">
        <f t="shared" si="118"/>
        <v>10</v>
      </c>
      <c r="Q62" s="8"/>
      <c r="R62" s="7">
        <f>IFERROR((VLOOKUP($BP$1&amp;D3,Teams!D:M,2,0)+AL62+AD62),0)</f>
        <v>6</v>
      </c>
      <c r="S62" s="7">
        <f>IFERROR((VLOOKUP($BP$1&amp;D3,Teams!D:M,3,0)+AM62+AE62),0)</f>
        <v>4</v>
      </c>
      <c r="T62" s="7">
        <f>IFERROR((VLOOKUP($BP$1&amp;D3,Teams!D:M,4,0)+AN62-AF62),0)</f>
        <v>4</v>
      </c>
      <c r="U62" s="7">
        <f>IFERROR((VLOOKUP($BP$1&amp;D3,Teams!D:M,5,0)+AO62-AG62),0)</f>
        <v>6</v>
      </c>
      <c r="V62" s="7">
        <f>IFERROR((VLOOKUP($BP$1&amp;D3,Teams!D:M,6,0)+AP62+AH62),0)</f>
        <v>10</v>
      </c>
      <c r="W62" s="8"/>
      <c r="X62" s="8">
        <f>IFERROR((VLOOKUP($BP$1&amp;D3,Teams!D:M,2,0)),0)</f>
        <v>6</v>
      </c>
      <c r="Y62" s="8">
        <f>IFERROR((VLOOKUP($BP$1&amp;D3,Teams!D:M,3,0)),0)</f>
        <v>4</v>
      </c>
      <c r="Z62" s="8">
        <f>IFERROR((VLOOKUP($BP$1&amp;D3,Teams!D:M,4,0)),0)</f>
        <v>4</v>
      </c>
      <c r="AA62" s="8">
        <f>IFERROR((VLOOKUP($BP$1&amp;D3,Teams!D:M,5,0)),0)</f>
        <v>6</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80000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
      </c>
      <c r="CP62" s="51" t="str">
        <f t="shared" si="135"/>
        <v>AV+</v>
      </c>
      <c r="CQ62" s="51" t="str">
        <f t="shared" si="136"/>
        <v>AV+</v>
      </c>
      <c r="CR62" s="51" t="str">
        <f t="shared" si="137"/>
        <v>AV+</v>
      </c>
      <c r="CS62" s="51" t="str">
        <f t="shared" si="138"/>
        <v>AV+</v>
      </c>
      <c r="CT62" s="51" t="str">
        <f t="shared" si="139"/>
        <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4</v>
      </c>
      <c r="M63" s="8">
        <f t="shared" si="116"/>
        <v>3</v>
      </c>
      <c r="N63" s="8">
        <f t="shared" ref="N63:O63" si="146">IF(T63=0,0,(IF(T63&gt;6,6,(IF(T63&lt;1,1,T63)))))</f>
        <v>4</v>
      </c>
      <c r="O63" s="8">
        <f t="shared" si="146"/>
        <v>6</v>
      </c>
      <c r="P63" s="8">
        <f t="shared" si="118"/>
        <v>10</v>
      </c>
      <c r="Q63" s="8"/>
      <c r="R63" s="7">
        <f>IFERROR((VLOOKUP($BP$1&amp;D4,Teams!D:M,2,0)+AL63+AD63),0)</f>
        <v>4</v>
      </c>
      <c r="S63" s="7">
        <f>IFERROR((VLOOKUP($BP$1&amp;D4,Teams!D:M,3,0)+AM63+AE63),0)</f>
        <v>3</v>
      </c>
      <c r="T63" s="7">
        <f>IFERROR((VLOOKUP($BP$1&amp;D4,Teams!D:M,4,0)+AN63-AF63),0)</f>
        <v>4</v>
      </c>
      <c r="U63" s="7">
        <f>IFERROR((VLOOKUP($BP$1&amp;D4,Teams!D:M,5,0)+AO63-AG63),0)</f>
        <v>6</v>
      </c>
      <c r="V63" s="7">
        <f>IFERROR((VLOOKUP($BP$1&amp;D4,Teams!D:M,6,0)+AP63+AH63),0)</f>
        <v>10</v>
      </c>
      <c r="W63" s="8"/>
      <c r="X63" s="8">
        <f>IFERROR((VLOOKUP($BP$1&amp;D4,Teams!D:M,2,0)),0)</f>
        <v>4</v>
      </c>
      <c r="Y63" s="8">
        <f>IFERROR((VLOOKUP($BP$1&amp;D4,Teams!D:M,3,0)),0)</f>
        <v>3</v>
      </c>
      <c r="Z63" s="8">
        <f>IFERROR((VLOOKUP($BP$1&amp;D4,Teams!D:M,4,0)),0)</f>
        <v>4</v>
      </c>
      <c r="AA63" s="8">
        <f>IFERROR((VLOOKUP($BP$1&amp;D4,Teams!D:M,5,0)),0)</f>
        <v>6</v>
      </c>
      <c r="AB63" s="8">
        <f>IFERROR((VLOOKUP($BP$1&amp;D4,Teams!D:M,6,0)),0)</f>
        <v>10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
      </c>
      <c r="CP63" s="51" t="str">
        <f t="shared" si="135"/>
        <v>AG-</v>
      </c>
      <c r="CQ63" s="51" t="str">
        <f t="shared" si="136"/>
        <v>AG-</v>
      </c>
      <c r="CR63" s="51" t="str">
        <f t="shared" si="137"/>
        <v>AG-</v>
      </c>
      <c r="CS63" s="51" t="str">
        <f t="shared" si="138"/>
        <v>AG-</v>
      </c>
      <c r="CT63" s="51" t="str">
        <f t="shared" si="139"/>
        <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4</v>
      </c>
      <c r="M64" s="8">
        <f t="shared" si="116"/>
        <v>3</v>
      </c>
      <c r="N64" s="8">
        <f t="shared" ref="N64:O64" si="148">IF(T64=0,0,(IF(T64&gt;6,6,(IF(T64&lt;1,1,T64)))))</f>
        <v>4</v>
      </c>
      <c r="O64" s="8">
        <f t="shared" si="148"/>
        <v>6</v>
      </c>
      <c r="P64" s="8">
        <f t="shared" si="118"/>
        <v>10</v>
      </c>
      <c r="Q64" s="8" t="s">
        <v>245</v>
      </c>
      <c r="R64" s="7">
        <f>IFERROR((VLOOKUP($BP$1&amp;D5,Teams!D:M,2,0)+AL64+AD64),0)</f>
        <v>4</v>
      </c>
      <c r="S64" s="7">
        <f>IFERROR((VLOOKUP($BP$1&amp;D5,Teams!D:M,3,0)+AM64+AE64),0)</f>
        <v>3</v>
      </c>
      <c r="T64" s="7">
        <f>IFERROR((VLOOKUP($BP$1&amp;D5,Teams!D:M,4,0)+AN64-AF64),0)</f>
        <v>4</v>
      </c>
      <c r="U64" s="7">
        <f>IFERROR((VLOOKUP($BP$1&amp;D5,Teams!D:M,5,0)+AO64-AG64),0)</f>
        <v>6</v>
      </c>
      <c r="V64" s="7">
        <f>IFERROR((VLOOKUP($BP$1&amp;D5,Teams!D:M,6,0)+AP64+AH64),0)</f>
        <v>10</v>
      </c>
      <c r="W64" s="8"/>
      <c r="X64" s="8">
        <f>IFERROR((VLOOKUP($BP$1&amp;D5,Teams!D:M,2,0)),0)</f>
        <v>4</v>
      </c>
      <c r="Y64" s="8">
        <f>IFERROR((VLOOKUP($BP$1&amp;D5,Teams!D:M,3,0)),0)</f>
        <v>3</v>
      </c>
      <c r="Z64" s="8">
        <f>IFERROR((VLOOKUP($BP$1&amp;D5,Teams!D:M,4,0)),0)</f>
        <v>4</v>
      </c>
      <c r="AA64" s="8">
        <f>IFERROR((VLOOKUP($BP$1&amp;D5,Teams!D:M,5,0)),0)</f>
        <v>6</v>
      </c>
      <c r="AB64" s="8">
        <f>IFERROR((VLOOKUP($BP$1&amp;D5,Teams!D:M,6,0)),0)</f>
        <v>10</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
      </c>
      <c r="CP64" s="51" t="str">
        <f t="shared" si="135"/>
        <v>PA-</v>
      </c>
      <c r="CQ64" s="51" t="str">
        <f t="shared" si="136"/>
        <v>PA-</v>
      </c>
      <c r="CR64" s="51" t="str">
        <f t="shared" si="137"/>
        <v>PA-</v>
      </c>
      <c r="CS64" s="51" t="str">
        <f t="shared" si="138"/>
        <v>PA-</v>
      </c>
      <c r="CT64" s="51" t="str">
        <f t="shared" si="139"/>
        <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4</v>
      </c>
      <c r="M65" s="8">
        <f t="shared" si="116"/>
        <v>3</v>
      </c>
      <c r="N65" s="8">
        <f t="shared" ref="N65:O65" si="150">IF(T65=0,0,(IF(T65&gt;6,6,(IF(T65&lt;1,1,T65)))))</f>
        <v>4</v>
      </c>
      <c r="O65" s="8">
        <f t="shared" si="150"/>
        <v>6</v>
      </c>
      <c r="P65" s="8">
        <f t="shared" si="118"/>
        <v>10</v>
      </c>
      <c r="Q65" s="8"/>
      <c r="R65" s="7">
        <f>IFERROR((VLOOKUP($BP$1&amp;D6,Teams!D:M,2,0)+AL65+AD65),0)</f>
        <v>4</v>
      </c>
      <c r="S65" s="7">
        <f>IFERROR((VLOOKUP($BP$1&amp;D6,Teams!D:M,3,0)+AM65+AE65),0)</f>
        <v>3</v>
      </c>
      <c r="T65" s="7">
        <f>IFERROR((VLOOKUP($BP$1&amp;D6,Teams!D:M,4,0)+AN65-AF65),0)</f>
        <v>4</v>
      </c>
      <c r="U65" s="7">
        <f>IFERROR((VLOOKUP($BP$1&amp;D6,Teams!D:M,5,0)+AO65-AG65),0)</f>
        <v>6</v>
      </c>
      <c r="V65" s="7">
        <f>IFERROR((VLOOKUP($BP$1&amp;D6,Teams!D:M,6,0)+AP65+AH65),0)</f>
        <v>10</v>
      </c>
      <c r="W65" s="8"/>
      <c r="X65" s="8">
        <f>IFERROR((VLOOKUP($BP$1&amp;D6,Teams!D:M,2,0)),0)</f>
        <v>4</v>
      </c>
      <c r="Y65" s="8">
        <f>IFERROR((VLOOKUP($BP$1&amp;D6,Teams!D:M,3,0)),0)</f>
        <v>3</v>
      </c>
      <c r="Z65" s="8">
        <f>IFERROR((VLOOKUP($BP$1&amp;D6,Teams!D:M,4,0)),0)</f>
        <v>4</v>
      </c>
      <c r="AA65" s="8">
        <f>IFERROR((VLOOKUP($BP$1&amp;D6,Teams!D:M,5,0)),0)</f>
        <v>6</v>
      </c>
      <c r="AB65" s="8">
        <f>IFERROR((VLOOKUP($BP$1&amp;D6,Teams!D:M,6,0)),0)</f>
        <v>10</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1"/>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
      </c>
      <c r="CP65" s="51" t="str">
        <f t="shared" si="135"/>
        <v>ST+</v>
      </c>
      <c r="CQ65" s="51" t="str">
        <f t="shared" si="136"/>
        <v>ST+</v>
      </c>
      <c r="CR65" s="51" t="str">
        <f t="shared" si="137"/>
        <v>ST+</v>
      </c>
      <c r="CS65" s="51" t="str">
        <f t="shared" si="138"/>
        <v>ST+</v>
      </c>
      <c r="CT65" s="51" t="str">
        <f t="shared" si="139"/>
        <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4</v>
      </c>
      <c r="M66" s="8">
        <f t="shared" si="116"/>
        <v>3</v>
      </c>
      <c r="N66" s="8">
        <f t="shared" ref="N66:O66" si="152">IF(T66=0,0,(IF(T66&gt;6,6,(IF(T66&lt;1,1,T66)))))</f>
        <v>4</v>
      </c>
      <c r="O66" s="8">
        <f t="shared" si="152"/>
        <v>6</v>
      </c>
      <c r="P66" s="8">
        <f t="shared" si="118"/>
        <v>10</v>
      </c>
      <c r="Q66" s="8"/>
      <c r="R66" s="7">
        <f>IFERROR((VLOOKUP($BP$1&amp;D7,Teams!D:M,2,0)+AL66+AD66),0)</f>
        <v>4</v>
      </c>
      <c r="S66" s="7">
        <f>IFERROR((VLOOKUP($BP$1&amp;D7,Teams!D:M,3,0)+AM66+AE66),0)</f>
        <v>3</v>
      </c>
      <c r="T66" s="7">
        <f>IFERROR((VLOOKUP($BP$1&amp;D7,Teams!D:M,4,0)+AN66-AF66),0)</f>
        <v>4</v>
      </c>
      <c r="U66" s="7">
        <f>IFERROR((VLOOKUP($BP$1&amp;D7,Teams!D:M,5,0)+AO66-AG66),0)</f>
        <v>6</v>
      </c>
      <c r="V66" s="7">
        <f>IFERROR((VLOOKUP($BP$1&amp;D7,Teams!D:M,6,0)+AP66+AH66),0)</f>
        <v>10</v>
      </c>
      <c r="W66" s="8"/>
      <c r="X66" s="8">
        <f>IFERROR((VLOOKUP($BP$1&amp;D7,Teams!D:M,2,0)),0)</f>
        <v>4</v>
      </c>
      <c r="Y66" s="8">
        <f>IFERROR((VLOOKUP($BP$1&amp;D7,Teams!D:M,3,0)),0)</f>
        <v>3</v>
      </c>
      <c r="Z66" s="8">
        <f>IFERROR((VLOOKUP($BP$1&amp;D7,Teams!D:M,4,0)),0)</f>
        <v>4</v>
      </c>
      <c r="AA66" s="8">
        <f>IFERROR((VLOOKUP($BP$1&amp;D7,Teams!D:M,5,0)),0)</f>
        <v>6</v>
      </c>
      <c r="AB66" s="8">
        <f>IFERROR((VLOOKUP($BP$1&amp;D7,Teams!D:M,6,0)),0)</f>
        <v>10</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06" t="s">
        <v>1743</v>
      </c>
      <c r="CC66" s="406"/>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
      </c>
      <c r="CP66" s="51" t="str">
        <f t="shared" si="135"/>
        <v>Block</v>
      </c>
      <c r="CQ66" s="51" t="str">
        <f t="shared" si="136"/>
        <v>Block</v>
      </c>
      <c r="CR66" s="51" t="str">
        <f t="shared" si="137"/>
        <v>Block</v>
      </c>
      <c r="CS66" s="51" t="str">
        <f t="shared" si="138"/>
        <v>Block</v>
      </c>
      <c r="CT66" s="51" t="str">
        <f t="shared" si="139"/>
        <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5</v>
      </c>
      <c r="M67" s="8">
        <f t="shared" si="116"/>
        <v>3</v>
      </c>
      <c r="N67" s="8">
        <f t="shared" ref="N67:O67" si="154">IF(T67=0,0,(IF(T67&gt;6,6,(IF(T67&lt;1,1,T67)))))</f>
        <v>4</v>
      </c>
      <c r="O67" s="8">
        <f t="shared" si="154"/>
        <v>6</v>
      </c>
      <c r="P67" s="8">
        <f t="shared" si="118"/>
        <v>10</v>
      </c>
      <c r="Q67" s="8"/>
      <c r="R67" s="7">
        <f>IFERROR((VLOOKUP($BP$1&amp;D8,Teams!D:M,2,0)+AL67+AD67),0)</f>
        <v>5</v>
      </c>
      <c r="S67" s="7">
        <f>IFERROR((VLOOKUP($BP$1&amp;D8,Teams!D:M,3,0)+AM67+AE67),0)</f>
        <v>3</v>
      </c>
      <c r="T67" s="7">
        <f>IFERROR((VLOOKUP($BP$1&amp;D8,Teams!D:M,4,0)+AN67-AF67),0)</f>
        <v>4</v>
      </c>
      <c r="U67" s="7">
        <f>IFERROR((VLOOKUP($BP$1&amp;D8,Teams!D:M,5,0)+AO67-AG67),0)</f>
        <v>6</v>
      </c>
      <c r="V67" s="7">
        <f>IFERROR((VLOOKUP($BP$1&amp;D8,Teams!D:M,6,0)+AP67+AH67),0)</f>
        <v>10</v>
      </c>
      <c r="W67" s="8"/>
      <c r="X67" s="8">
        <f>IFERROR((VLOOKUP($BP$1&amp;D8,Teams!D:M,2,0)),0)</f>
        <v>5</v>
      </c>
      <c r="Y67" s="8">
        <f>IFERROR((VLOOKUP($BP$1&amp;D8,Teams!D:M,3,0)),0)</f>
        <v>3</v>
      </c>
      <c r="Z67" s="8">
        <f>IFERROR((VLOOKUP($BP$1&amp;D8,Teams!D:M,4,0)),0)</f>
        <v>4</v>
      </c>
      <c r="AA67" s="8">
        <f>IFERROR((VLOOKUP($BP$1&amp;D8,Teams!D:M,5,0)),0)</f>
        <v>6</v>
      </c>
      <c r="AB67" s="8">
        <f>IFERROR((VLOOKUP($BP$1&amp;D8,Teams!D:M,6,0)),0)</f>
        <v>10</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80000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
      </c>
      <c r="CP67" s="51" t="str">
        <f t="shared" si="135"/>
        <v>Dauntless</v>
      </c>
      <c r="CQ67" s="51" t="str">
        <f t="shared" si="136"/>
        <v>Dauntless</v>
      </c>
      <c r="CR67" s="51" t="str">
        <f t="shared" si="137"/>
        <v>Dauntless</v>
      </c>
      <c r="CS67" s="51" t="str">
        <f t="shared" si="138"/>
        <v>Dauntless</v>
      </c>
      <c r="CT67" s="51" t="str">
        <f t="shared" si="139"/>
        <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0</v>
      </c>
      <c r="M68" s="8">
        <f t="shared" si="116"/>
        <v>0</v>
      </c>
      <c r="N68" s="8">
        <f t="shared" ref="N68:O68" si="157">IF(T68=0,0,(IF(T68&gt;6,6,(IF(T68&lt;1,1,T68)))))</f>
        <v>0</v>
      </c>
      <c r="O68" s="8">
        <f t="shared" si="157"/>
        <v>0</v>
      </c>
      <c r="P68" s="8">
        <f t="shared" si="118"/>
        <v>0</v>
      </c>
      <c r="Q68" s="8"/>
      <c r="R68" s="7">
        <f>IFERROR((VLOOKUP($BP$1&amp;D9,Teams!D:M,2,0)+AL68+AD68),0)</f>
        <v>0</v>
      </c>
      <c r="S68" s="7">
        <f>IFERROR((VLOOKUP($BP$1&amp;D9,Teams!D:M,3,0)+AM68+AE68),0)</f>
        <v>0</v>
      </c>
      <c r="T68" s="7">
        <f>IFERROR((VLOOKUP($BP$1&amp;D9,Teams!D:M,4,0)+AN68-AF68),0)</f>
        <v>0</v>
      </c>
      <c r="U68" s="7">
        <f>IFERROR((VLOOKUP($BP$1&amp;D9,Teams!D:M,5,0)+AO68-AG68),0)</f>
        <v>0</v>
      </c>
      <c r="V68" s="7">
        <f>IFERROR((VLOOKUP($BP$1&amp;D9,Teams!D:M,6,0)+AP68+AH68),0)</f>
        <v>0</v>
      </c>
      <c r="W68" s="8"/>
      <c r="X68" s="8">
        <f>IFERROR((VLOOKUP($BP$1&amp;D9,Teams!D:M,2,0)),0)</f>
        <v>0</v>
      </c>
      <c r="Y68" s="8">
        <f>IFERROR((VLOOKUP($BP$1&amp;D9,Teams!D:M,3,0)),0)</f>
        <v>0</v>
      </c>
      <c r="Z68" s="8">
        <f>IFERROR((VLOOKUP($BP$1&amp;D9,Teams!D:M,4,0)),0)</f>
        <v>0</v>
      </c>
      <c r="AA68" s="8">
        <f>IFERROR((VLOOKUP($BP$1&amp;D9,Teams!D:M,5,0)),0)</f>
        <v>0</v>
      </c>
      <c r="AB68" s="8">
        <f>IFERROR((VLOOKUP($BP$1&amp;D9,Teams!D:M,6,0)),0)</f>
        <v>0</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90000</v>
      </c>
      <c r="BI68" s="203" t="s">
        <v>1213</v>
      </c>
      <c r="BJ68" s="55">
        <f>IFERROR((IF(OR(COUNTIF($BV$2,"*UnderworldChallenge*")),150000,0)),0)</f>
        <v>0</v>
      </c>
      <c r="BL68" s="8"/>
      <c r="BN68" s="8"/>
      <c r="BO68" s="8"/>
      <c r="BP68" s="203" t="str">
        <f>IF($J$24="Español","TOTEM DEL CAOS","CHAOS TOTEM")</f>
        <v>CHAOS TOTEM</v>
      </c>
      <c r="BQ68" s="278">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
      </c>
      <c r="CP68" s="51" t="str">
        <f t="shared" si="135"/>
        <v>Dirty Player (+1)</v>
      </c>
      <c r="CQ68" s="51" t="str">
        <f t="shared" si="136"/>
        <v>Dirty Player (+1)</v>
      </c>
      <c r="CR68" s="51" t="str">
        <f t="shared" si="137"/>
        <v>Dirty Player (+1)</v>
      </c>
      <c r="CS68" s="51" t="str">
        <f t="shared" si="138"/>
        <v>Dirty Player (+1)</v>
      </c>
      <c r="CT68" s="51" t="str">
        <f t="shared" si="139"/>
        <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6</v>
      </c>
      <c r="M69" s="8">
        <f t="shared" si="116"/>
        <v>3</v>
      </c>
      <c r="N69" s="8">
        <f t="shared" ref="N69:O69" si="159">IF(T69=0,0,(IF(T69&gt;6,6,(IF(T69&lt;1,1,T69)))))</f>
        <v>3</v>
      </c>
      <c r="O69" s="8">
        <f t="shared" si="159"/>
        <v>4</v>
      </c>
      <c r="P69" s="8">
        <f t="shared" si="118"/>
        <v>8</v>
      </c>
      <c r="Q69" s="8"/>
      <c r="R69" s="7">
        <f>IFERROR((VLOOKUP($BP$1&amp;D10,Teams!D:M,2,0)+AL69+AD69),0)</f>
        <v>6</v>
      </c>
      <c r="S69" s="7">
        <f>IFERROR((VLOOKUP($BP$1&amp;D10,Teams!D:M,3,0)+AM69+AE69),0)</f>
        <v>3</v>
      </c>
      <c r="T69" s="7">
        <f>IFERROR((VLOOKUP($BP$1&amp;D10,Teams!D:M,4,0)+AN69-AF69),0)</f>
        <v>3</v>
      </c>
      <c r="U69" s="7">
        <f>IFERROR((VLOOKUP($BP$1&amp;D10,Teams!D:M,5,0)+AO69-AG69),0)</f>
        <v>4</v>
      </c>
      <c r="V69" s="7">
        <f>IFERROR((VLOOKUP($BP$1&amp;D10,Teams!D:M,6,0)+AP69+AH69),0)</f>
        <v>8</v>
      </c>
      <c r="W69" s="8"/>
      <c r="X69" s="8">
        <f>IFERROR((VLOOKUP($BP$1&amp;D10,Teams!D:M,2,0)),0)</f>
        <v>6</v>
      </c>
      <c r="Y69" s="8">
        <f>IFERROR((VLOOKUP($BP$1&amp;D10,Teams!D:M,3,0)),0)</f>
        <v>3</v>
      </c>
      <c r="Z69" s="8">
        <f>IFERROR((VLOOKUP($BP$1&amp;D10,Teams!D:M,4,0)),0)</f>
        <v>3</v>
      </c>
      <c r="AA69" s="8">
        <f>IFERROR((VLOOKUP($BP$1&amp;D10,Teams!D:M,5,0)),0)</f>
        <v>4</v>
      </c>
      <c r="AB69" s="8">
        <f>IFERROR((VLOOKUP($BP$1&amp;D10,Teams!D:M,6,0)),0)</f>
        <v>8</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150000</v>
      </c>
      <c r="BL69" s="8"/>
      <c r="BN69" s="8"/>
      <c r="BO69" s="8"/>
      <c r="BP69" s="203" t="s">
        <v>1428</v>
      </c>
      <c r="BQ69" s="278">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
      </c>
      <c r="CP69" s="51" t="str">
        <f t="shared" si="135"/>
        <v>Fend</v>
      </c>
      <c r="CQ69" s="51" t="str">
        <f t="shared" si="136"/>
        <v>Fend</v>
      </c>
      <c r="CR69" s="51" t="str">
        <f t="shared" si="137"/>
        <v>Fend</v>
      </c>
      <c r="CS69" s="51" t="str">
        <f t="shared" si="138"/>
        <v>Fend</v>
      </c>
      <c r="CT69" s="51" t="str">
        <f t="shared" si="139"/>
        <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6</v>
      </c>
      <c r="M70" s="8">
        <f t="shared" si="116"/>
        <v>3</v>
      </c>
      <c r="N70" s="8">
        <f t="shared" ref="N70:O70" si="161">IF(T70=0,0,(IF(T70&gt;6,6,(IF(T70&lt;1,1,T70)))))</f>
        <v>3</v>
      </c>
      <c r="O70" s="8">
        <f t="shared" si="161"/>
        <v>4</v>
      </c>
      <c r="P70" s="8">
        <f t="shared" si="118"/>
        <v>8</v>
      </c>
      <c r="Q70" s="8"/>
      <c r="R70" s="7">
        <f>IFERROR((VLOOKUP($BP$1&amp;D11,Teams!D:M,2,0)+AL70+AD70),0)</f>
        <v>6</v>
      </c>
      <c r="S70" s="7">
        <f>IFERROR((VLOOKUP($BP$1&amp;D11,Teams!D:M,3,0)+AM70+AE70),0)</f>
        <v>3</v>
      </c>
      <c r="T70" s="7">
        <f>IFERROR((VLOOKUP($BP$1&amp;D11,Teams!D:M,4,0)+AN70-AF70),0)</f>
        <v>3</v>
      </c>
      <c r="U70" s="7">
        <f>IFERROR((VLOOKUP($BP$1&amp;D11,Teams!D:M,5,0)+AO70-AG70),0)</f>
        <v>4</v>
      </c>
      <c r="V70" s="7">
        <f>IFERROR((VLOOKUP($BP$1&amp;D11,Teams!D:M,6,0)+AP70+AH70),0)</f>
        <v>8</v>
      </c>
      <c r="W70" s="8"/>
      <c r="X70" s="8">
        <f>IFERROR((VLOOKUP($BP$1&amp;D11,Teams!D:M,2,0)),0)</f>
        <v>6</v>
      </c>
      <c r="Y70" s="8">
        <f>IFERROR((VLOOKUP($BP$1&amp;D11,Teams!D:M,3,0)),0)</f>
        <v>3</v>
      </c>
      <c r="Z70" s="8">
        <f>IFERROR((VLOOKUP($BP$1&amp;D11,Teams!D:M,4,0)),0)</f>
        <v>3</v>
      </c>
      <c r="AA70" s="8">
        <f>IFERROR((VLOOKUP($BP$1&amp;D11,Teams!D:M,5,0)),0)</f>
        <v>4</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150000</v>
      </c>
      <c r="BL70" s="8"/>
      <c r="BN70" s="8"/>
      <c r="BO70" s="8"/>
      <c r="BP70" s="203" t="s">
        <v>1483</v>
      </c>
      <c r="BQ70" s="278">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
      </c>
      <c r="CP70" s="51" t="str">
        <f t="shared" si="135"/>
        <v>Frenzy</v>
      </c>
      <c r="CQ70" s="51" t="str">
        <f t="shared" si="136"/>
        <v>Frenzy</v>
      </c>
      <c r="CR70" s="51" t="str">
        <f t="shared" si="137"/>
        <v>Frenzy</v>
      </c>
      <c r="CS70" s="51" t="str">
        <f t="shared" si="138"/>
        <v>Frenzy</v>
      </c>
      <c r="CT70" s="51" t="str">
        <f t="shared" si="139"/>
        <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6</v>
      </c>
      <c r="M71" s="8">
        <f t="shared" si="116"/>
        <v>3</v>
      </c>
      <c r="N71" s="8">
        <f t="shared" ref="N71:O71" si="163">IF(T71=0,0,(IF(T71&gt;6,6,(IF(T71&lt;1,1,T71)))))</f>
        <v>3</v>
      </c>
      <c r="O71" s="8">
        <f t="shared" si="163"/>
        <v>4</v>
      </c>
      <c r="P71" s="8">
        <f t="shared" si="118"/>
        <v>8</v>
      </c>
      <c r="Q71" s="8"/>
      <c r="R71" s="7">
        <f>IFERROR((VLOOKUP($BP$1&amp;D12,Teams!D:M,2,0)+AL71+AD71),0)</f>
        <v>6</v>
      </c>
      <c r="S71" s="7">
        <f>IFERROR((VLOOKUP($BP$1&amp;D12,Teams!D:M,3,0)+AM71+AE71),0)</f>
        <v>3</v>
      </c>
      <c r="T71" s="7">
        <f>IFERROR((VLOOKUP($BP$1&amp;D12,Teams!D:M,4,0)+AN71-AF71),0)</f>
        <v>3</v>
      </c>
      <c r="U71" s="7">
        <f>IFERROR((VLOOKUP($BP$1&amp;D12,Teams!D:M,5,0)+AO71-AG71),0)</f>
        <v>4</v>
      </c>
      <c r="V71" s="7">
        <f>IFERROR((VLOOKUP($BP$1&amp;D12,Teams!D:M,6,0)+AP71+AH71),0)</f>
        <v>8</v>
      </c>
      <c r="W71" s="8"/>
      <c r="X71" s="8">
        <f>IFERROR((VLOOKUP($BP$1&amp;D12,Teams!D:M,2,0)),0)</f>
        <v>6</v>
      </c>
      <c r="Y71" s="8">
        <f>IFERROR((VLOOKUP($BP$1&amp;D12,Teams!D:M,3,0)),0)</f>
        <v>3</v>
      </c>
      <c r="Z71" s="8">
        <f>IFERROR((VLOOKUP($BP$1&amp;D12,Teams!D:M,4,0)),0)</f>
        <v>3</v>
      </c>
      <c r="AA71" s="8">
        <f>IFERROR((VLOOKUP($BP$1&amp;D12,Teams!D:M,5,0)),0)</f>
        <v>4</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8">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
      </c>
      <c r="CP71" s="51" t="str">
        <f t="shared" si="135"/>
        <v>Kick</v>
      </c>
      <c r="CQ71" s="51" t="str">
        <f t="shared" si="136"/>
        <v>Kick</v>
      </c>
      <c r="CR71" s="51" t="str">
        <f t="shared" si="137"/>
        <v>Kick</v>
      </c>
      <c r="CS71" s="51" t="str">
        <f t="shared" si="138"/>
        <v>Kick</v>
      </c>
      <c r="CT71" s="51" t="str">
        <f t="shared" si="139"/>
        <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6</v>
      </c>
      <c r="M72" s="8">
        <f t="shared" si="116"/>
        <v>3</v>
      </c>
      <c r="N72" s="8">
        <f t="shared" ref="N72:O72" si="165">IF(T72=0,0,(IF(T72&gt;6,6,(IF(T72&lt;1,1,T72)))))</f>
        <v>3</v>
      </c>
      <c r="O72" s="8">
        <f t="shared" si="165"/>
        <v>4</v>
      </c>
      <c r="P72" s="8">
        <f t="shared" si="118"/>
        <v>8</v>
      </c>
      <c r="Q72" s="8"/>
      <c r="R72" s="7">
        <f>IFERROR((VLOOKUP($BP$1&amp;D13,Teams!D:M,2,0)+AL72+AD72),0)</f>
        <v>6</v>
      </c>
      <c r="S72" s="7">
        <f>IFERROR((VLOOKUP($BP$1&amp;D13,Teams!D:M,3,0)+AM72+AE72),0)</f>
        <v>3</v>
      </c>
      <c r="T72" s="7">
        <f>IFERROR((VLOOKUP($BP$1&amp;D13,Teams!D:M,4,0)+AN72-AF72),0)</f>
        <v>3</v>
      </c>
      <c r="U72" s="7">
        <f>IFERROR((VLOOKUP($BP$1&amp;D13,Teams!D:M,5,0)+AO72-AG72),0)</f>
        <v>4</v>
      </c>
      <c r="V72" s="7">
        <f>IFERROR((VLOOKUP($BP$1&amp;D13,Teams!D:M,6,0)+AP72+AH72),0)</f>
        <v>8</v>
      </c>
      <c r="W72" s="8"/>
      <c r="X72" s="8">
        <f>IFERROR((VLOOKUP($BP$1&amp;D13,Teams!D:M,2,0)),0)</f>
        <v>6</v>
      </c>
      <c r="Y72" s="8">
        <f>IFERROR((VLOOKUP($BP$1&amp;D13,Teams!D:M,3,0)),0)</f>
        <v>3</v>
      </c>
      <c r="Z72" s="8">
        <f>IFERROR((VLOOKUP($BP$1&amp;D13,Teams!D:M,4,0)),0)</f>
        <v>3</v>
      </c>
      <c r="AA72" s="8">
        <f>IFERROR((VLOOKUP($BP$1&amp;D13,Teams!D:M,5,0)),0)</f>
        <v>4</v>
      </c>
      <c r="AB72" s="8">
        <f>IFERROR((VLOOKUP($BP$1&amp;D13,Teams!D:M,6,0)),0)</f>
        <v>8</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1</v>
      </c>
      <c r="BC72" s="8"/>
      <c r="BD72" s="8"/>
      <c r="BE72" s="55"/>
      <c r="BF72" s="55"/>
      <c r="BI72" s="54"/>
      <c r="BJ72" s="55"/>
      <c r="BL72" s="8"/>
      <c r="BN72" s="8"/>
      <c r="BO72" s="8"/>
      <c r="BP72" s="203" t="s">
        <v>1760</v>
      </c>
      <c r="BQ72" s="278">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
      </c>
      <c r="CP72" s="51" t="str">
        <f t="shared" si="135"/>
        <v>Pro</v>
      </c>
      <c r="CQ72" s="51" t="str">
        <f t="shared" si="136"/>
        <v>Pro</v>
      </c>
      <c r="CR72" s="51" t="str">
        <f t="shared" si="137"/>
        <v>Pro</v>
      </c>
      <c r="CS72" s="51" t="str">
        <f t="shared" si="138"/>
        <v>Pro</v>
      </c>
      <c r="CT72" s="51" t="str">
        <f t="shared" si="139"/>
        <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5</v>
      </c>
      <c r="M73" s="8">
        <f t="shared" si="116"/>
        <v>5</v>
      </c>
      <c r="N73" s="8">
        <f t="shared" ref="N73:O73" si="167">IF(T73=0,0,(IF(T73&gt;6,6,(IF(T73&lt;1,1,T73)))))</f>
        <v>4</v>
      </c>
      <c r="O73" s="8">
        <f t="shared" si="167"/>
        <v>0</v>
      </c>
      <c r="P73" s="8">
        <f t="shared" si="118"/>
        <v>9</v>
      </c>
      <c r="Q73" s="8"/>
      <c r="R73" s="7">
        <f>IFERROR((VLOOKUP($BP$1&amp;D14,Teams!D:M,2,0)+AL73+AD73),0)</f>
        <v>5</v>
      </c>
      <c r="S73" s="7">
        <f>IFERROR((VLOOKUP($BP$1&amp;D14,Teams!D:M,3,0)+AM73+AE73),0)</f>
        <v>5</v>
      </c>
      <c r="T73" s="7">
        <f>IFERROR((VLOOKUP($BP$1&amp;D14,Teams!D:M,4,0)+AN73-AF73),0)</f>
        <v>4</v>
      </c>
      <c r="U73" s="7">
        <f>IFERROR((VLOOKUP($BP$1&amp;D14,Teams!D:M,5,0)+AO73-AG73),0)</f>
        <v>0</v>
      </c>
      <c r="V73" s="7">
        <f>IFERROR((VLOOKUP($BP$1&amp;D14,Teams!D:M,6,0)+AP73+AH73),0)</f>
        <v>9</v>
      </c>
      <c r="W73" s="8"/>
      <c r="X73" s="8">
        <f>IFERROR((VLOOKUP($BP$1&amp;D14,Teams!D:M,2,0)),0)</f>
        <v>5</v>
      </c>
      <c r="Y73" s="8">
        <f>IFERROR((VLOOKUP($BP$1&amp;D14,Teams!D:M,3,0)),0)</f>
        <v>5</v>
      </c>
      <c r="Z73" s="8">
        <f>IFERROR((VLOOKUP($BP$1&amp;D14,Teams!D:M,4,0)),0)</f>
        <v>4</v>
      </c>
      <c r="AA73" s="8">
        <f>IFERROR((VLOOKUP($BP$1&amp;D14,Teams!D:M,5,0)),0)</f>
        <v>0</v>
      </c>
      <c r="AB73" s="8">
        <f>IFERROR((VLOOKUP($BP$1&amp;D14,Teams!D:M,6,0)),0)</f>
        <v>9</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5"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
      </c>
      <c r="CP73" s="51" t="str">
        <f t="shared" si="135"/>
        <v>Shadowing</v>
      </c>
      <c r="CQ73" s="51" t="str">
        <f t="shared" si="136"/>
        <v>Shadowing</v>
      </c>
      <c r="CR73" s="51" t="str">
        <f t="shared" si="137"/>
        <v>Shadowing</v>
      </c>
      <c r="CS73" s="51" t="str">
        <f t="shared" si="138"/>
        <v>Shadowing</v>
      </c>
      <c r="CT73" s="51" t="str">
        <f t="shared" si="139"/>
        <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1</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5"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
      </c>
      <c r="CP74" s="51" t="str">
        <f t="shared" si="135"/>
        <v>Strip Ball</v>
      </c>
      <c r="CQ74" s="51" t="str">
        <f t="shared" si="136"/>
        <v>Strip Ball</v>
      </c>
      <c r="CR74" s="51" t="str">
        <f t="shared" si="137"/>
        <v>Strip Ball</v>
      </c>
      <c r="CS74" s="51" t="str">
        <f t="shared" si="138"/>
        <v>Strip Ball</v>
      </c>
      <c r="CT74" s="51" t="str">
        <f t="shared" si="139"/>
        <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5"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
      </c>
      <c r="CP75" s="51" t="str">
        <f t="shared" si="135"/>
        <v>Sure Hands</v>
      </c>
      <c r="CQ75" s="51" t="str">
        <f t="shared" si="136"/>
        <v>Sure Hands</v>
      </c>
      <c r="CR75" s="51" t="str">
        <f t="shared" si="137"/>
        <v>Sure Hands</v>
      </c>
      <c r="CS75" s="51" t="str">
        <f t="shared" si="138"/>
        <v>Sure Hands</v>
      </c>
      <c r="CT75" s="51" t="str">
        <f t="shared" si="139"/>
        <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5"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
      </c>
      <c r="CP76" s="51" t="str">
        <f t="shared" si="135"/>
        <v>Tackle</v>
      </c>
      <c r="CQ76" s="51" t="str">
        <f t="shared" si="136"/>
        <v>Tackle</v>
      </c>
      <c r="CR76" s="51" t="str">
        <f t="shared" si="137"/>
        <v>Tackle</v>
      </c>
      <c r="CS76" s="51" t="str">
        <f t="shared" si="138"/>
        <v>Tackle</v>
      </c>
      <c r="CT76" s="51" t="str">
        <f t="shared" si="139"/>
        <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5"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
      </c>
      <c r="CP77" s="51" t="str">
        <f t="shared" si="135"/>
        <v>Wrestle</v>
      </c>
      <c r="CQ77" s="51" t="str">
        <f t="shared" si="136"/>
        <v>Wrestle</v>
      </c>
      <c r="CR77" s="51" t="str">
        <f t="shared" si="137"/>
        <v>Wrestle</v>
      </c>
      <c r="CS77" s="51" t="str">
        <f t="shared" si="138"/>
        <v>Wrestle</v>
      </c>
      <c r="CT77" s="51" t="str">
        <f t="shared" si="139"/>
        <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60000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5"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
      </c>
      <c r="CP78" s="51" t="str">
        <f t="shared" si="135"/>
        <v>Catch</v>
      </c>
      <c r="CQ78" s="51" t="str">
        <f t="shared" si="136"/>
        <v>Catch</v>
      </c>
      <c r="CR78" s="51" t="str">
        <f t="shared" si="137"/>
        <v>Catch</v>
      </c>
      <c r="CS78" s="51" t="str">
        <f t="shared" si="138"/>
        <v>Catch</v>
      </c>
      <c r="CT78" s="51" t="str">
        <f t="shared" si="139"/>
        <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5"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
      </c>
      <c r="CP79" s="51" t="str">
        <f t="shared" si="135"/>
        <v>Diving Catch</v>
      </c>
      <c r="CQ79" s="51" t="str">
        <f t="shared" si="136"/>
        <v>Diving Catch</v>
      </c>
      <c r="CR79" s="51" t="str">
        <f t="shared" si="137"/>
        <v>Diving Catch</v>
      </c>
      <c r="CS79" s="51" t="str">
        <f t="shared" si="138"/>
        <v>Diving Catch</v>
      </c>
      <c r="CT79" s="51" t="str">
        <f t="shared" si="139"/>
        <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5"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
      </c>
      <c r="CP80" s="51" t="str">
        <f t="shared" si="135"/>
        <v>Diving Tackle</v>
      </c>
      <c r="CQ80" s="51" t="str">
        <f t="shared" si="136"/>
        <v>Diving Tackle</v>
      </c>
      <c r="CR80" s="51" t="str">
        <f t="shared" si="137"/>
        <v>Diving Tackle</v>
      </c>
      <c r="CS80" s="51" t="str">
        <f t="shared" si="138"/>
        <v>Diving Tackle</v>
      </c>
      <c r="CT80" s="51" t="str">
        <f t="shared" si="139"/>
        <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5"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
      </c>
      <c r="CP81" s="51" t="str">
        <f t="shared" si="135"/>
        <v>Dodge</v>
      </c>
      <c r="CQ81" s="51" t="str">
        <f t="shared" si="136"/>
        <v>Dodge</v>
      </c>
      <c r="CR81" s="51" t="str">
        <f t="shared" si="137"/>
        <v>Dodge</v>
      </c>
      <c r="CS81" s="51" t="str">
        <f t="shared" si="138"/>
        <v>Dodge</v>
      </c>
      <c r="CT81" s="51" t="str">
        <f t="shared" si="139"/>
        <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5"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
      </c>
      <c r="CP82" s="51" t="str">
        <f t="shared" si="135"/>
        <v>Defensive</v>
      </c>
      <c r="CQ82" s="51" t="str">
        <f t="shared" si="136"/>
        <v>Defensive</v>
      </c>
      <c r="CR82" s="51" t="str">
        <f t="shared" si="137"/>
        <v>Defensive</v>
      </c>
      <c r="CS82" s="51" t="str">
        <f t="shared" si="138"/>
        <v>Defensive</v>
      </c>
      <c r="CT82" s="51" t="str">
        <f t="shared" si="139"/>
        <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5"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
      </c>
      <c r="CP83" s="51" t="str">
        <f t="shared" si="135"/>
        <v>Jump Up</v>
      </c>
      <c r="CQ83" s="51" t="str">
        <f t="shared" si="136"/>
        <v>Jump Up</v>
      </c>
      <c r="CR83" s="51" t="str">
        <f t="shared" si="137"/>
        <v>Jump Up</v>
      </c>
      <c r="CS83" s="51" t="str">
        <f t="shared" si="138"/>
        <v>Jump Up</v>
      </c>
      <c r="CT83" s="51" t="str">
        <f t="shared" si="139"/>
        <v/>
      </c>
      <c r="CU83" s="51" t="str">
        <f t="shared" si="140"/>
        <v/>
      </c>
      <c r="CV83" s="51" t="str">
        <f t="shared" si="141"/>
        <v/>
      </c>
      <c r="CW83" s="51" t="str">
        <f t="shared" si="142"/>
        <v/>
      </c>
      <c r="DA83" s="8"/>
    </row>
    <row r="84" spans="1:105" ht="15" hidden="1" customHeight="1" x14ac:dyDescent="0.2">
      <c r="A84" s="8"/>
      <c r="B84" s="395"/>
      <c r="C84" s="395"/>
      <c r="D84" s="384"/>
      <c r="E84" s="384"/>
      <c r="F84" s="384"/>
      <c r="G84" s="384"/>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
      </c>
      <c r="CP84" s="51" t="str">
        <f t="shared" si="135"/>
        <v>Leap</v>
      </c>
      <c r="CQ84" s="51" t="str">
        <f t="shared" si="136"/>
        <v>Leap</v>
      </c>
      <c r="CR84" s="51" t="str">
        <f t="shared" si="137"/>
        <v>Leap</v>
      </c>
      <c r="CS84" s="51" t="str">
        <f t="shared" si="138"/>
        <v>Leap</v>
      </c>
      <c r="CT84" s="51" t="str">
        <f t="shared" si="139"/>
        <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
      </c>
      <c r="CP85" s="51" t="str">
        <f t="shared" si="135"/>
        <v>Safe Pair of Hands</v>
      </c>
      <c r="CQ85" s="51" t="str">
        <f t="shared" si="136"/>
        <v>Safe Pair of Hands</v>
      </c>
      <c r="CR85" s="51" t="str">
        <f t="shared" si="137"/>
        <v>Safe Pair of Hands</v>
      </c>
      <c r="CS85" s="51" t="str">
        <f t="shared" si="138"/>
        <v>Safe Pair of Hands</v>
      </c>
      <c r="CT85" s="51" t="str">
        <f t="shared" si="139"/>
        <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
      </c>
      <c r="CP86" s="51" t="str">
        <f t="shared" si="135"/>
        <v>Sidestep</v>
      </c>
      <c r="CQ86" s="51" t="str">
        <f t="shared" si="136"/>
        <v>Sidestep</v>
      </c>
      <c r="CR86" s="51" t="str">
        <f t="shared" si="137"/>
        <v>Sidestep</v>
      </c>
      <c r="CS86" s="51" t="str">
        <f t="shared" si="138"/>
        <v>Sidestep</v>
      </c>
      <c r="CT86" s="51" t="str">
        <f t="shared" si="139"/>
        <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
      </c>
      <c r="CP87" s="51" t="str">
        <f t="shared" si="135"/>
        <v>Sneaky Git</v>
      </c>
      <c r="CQ87" s="51" t="str">
        <f t="shared" si="136"/>
        <v>Sneaky Git</v>
      </c>
      <c r="CR87" s="51" t="str">
        <f t="shared" si="137"/>
        <v>Sneaky Git</v>
      </c>
      <c r="CS87" s="51" t="str">
        <f t="shared" si="138"/>
        <v>Sneaky Git</v>
      </c>
      <c r="CT87" s="51" t="str">
        <f t="shared" si="139"/>
        <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
      </c>
      <c r="CP88" s="51" t="str">
        <f t="shared" si="135"/>
        <v>Sprint</v>
      </c>
      <c r="CQ88" s="51" t="str">
        <f t="shared" si="136"/>
        <v>Sprint</v>
      </c>
      <c r="CR88" s="51" t="str">
        <f t="shared" si="137"/>
        <v>Sprint</v>
      </c>
      <c r="CS88" s="51" t="str">
        <f t="shared" si="138"/>
        <v>Sprint</v>
      </c>
      <c r="CT88" s="51" t="str">
        <f t="shared" si="139"/>
        <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
      </c>
      <c r="CP89" s="51" t="str">
        <f t="shared" si="135"/>
        <v>Sure Feet</v>
      </c>
      <c r="CQ89" s="51" t="str">
        <f t="shared" si="136"/>
        <v>Sure Feet</v>
      </c>
      <c r="CR89" s="51" t="str">
        <f t="shared" si="137"/>
        <v>Sure Feet</v>
      </c>
      <c r="CS89" s="51" t="str">
        <f t="shared" si="138"/>
        <v>Sure Feet</v>
      </c>
      <c r="CT89" s="51" t="str">
        <f t="shared" si="139"/>
        <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Arm Bar</v>
      </c>
      <c r="CI90" s="224" t="str">
        <f t="shared" si="145"/>
        <v>Arm Bar</v>
      </c>
      <c r="CJ90" s="51" t="str">
        <f t="shared" si="129"/>
        <v>Arm Bar</v>
      </c>
      <c r="CK90" s="51" t="str">
        <f t="shared" si="130"/>
        <v>Arm Bar</v>
      </c>
      <c r="CL90" s="51" t="str">
        <f t="shared" si="131"/>
        <v>Arm Bar</v>
      </c>
      <c r="CM90" s="51" t="str">
        <f t="shared" si="132"/>
        <v>Arm Bar</v>
      </c>
      <c r="CN90" s="51" t="str">
        <f t="shared" si="133"/>
        <v>Arm Bar</v>
      </c>
      <c r="CO90" s="51" t="str">
        <f t="shared" si="134"/>
        <v/>
      </c>
      <c r="CP90" s="51" t="str">
        <f t="shared" si="135"/>
        <v>Arm Bar</v>
      </c>
      <c r="CQ90" s="51" t="str">
        <f t="shared" si="136"/>
        <v>Arm Bar</v>
      </c>
      <c r="CR90" s="51" t="str">
        <f t="shared" si="137"/>
        <v>Arm Bar</v>
      </c>
      <c r="CS90" s="51" t="str">
        <f t="shared" si="138"/>
        <v>Arm Bar</v>
      </c>
      <c r="CT90" s="51" t="str">
        <f t="shared" si="139"/>
        <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Brawler</v>
      </c>
      <c r="CI91" s="224" t="str">
        <f t="shared" si="145"/>
        <v>Brawler</v>
      </c>
      <c r="CJ91" s="51" t="str">
        <f t="shared" si="129"/>
        <v>Brawler</v>
      </c>
      <c r="CK91" s="51" t="str">
        <f t="shared" si="130"/>
        <v>Brawler</v>
      </c>
      <c r="CL91" s="51" t="str">
        <f t="shared" si="131"/>
        <v>Brawler</v>
      </c>
      <c r="CM91" s="51" t="str">
        <f t="shared" si="132"/>
        <v>Brawler</v>
      </c>
      <c r="CN91" s="51" t="str">
        <f t="shared" si="133"/>
        <v>Brawler</v>
      </c>
      <c r="CO91" s="51" t="str">
        <f t="shared" si="134"/>
        <v/>
      </c>
      <c r="CP91" s="51" t="str">
        <f t="shared" si="135"/>
        <v>Brawler</v>
      </c>
      <c r="CQ91" s="51" t="str">
        <f t="shared" si="136"/>
        <v>Brawler</v>
      </c>
      <c r="CR91" s="51" t="str">
        <f t="shared" si="137"/>
        <v>Brawler</v>
      </c>
      <c r="CS91" s="51" t="str">
        <f t="shared" si="138"/>
        <v>Brawler</v>
      </c>
      <c r="CT91" s="51" t="str">
        <f t="shared" si="139"/>
        <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Break Tackle</v>
      </c>
      <c r="CI92" s="224" t="str">
        <f t="shared" si="145"/>
        <v>Break Tackle</v>
      </c>
      <c r="CJ92" s="51" t="str">
        <f t="shared" si="129"/>
        <v>Break Tackle</v>
      </c>
      <c r="CK92" s="51" t="str">
        <f t="shared" si="130"/>
        <v>Break Tackle</v>
      </c>
      <c r="CL92" s="51" t="str">
        <f t="shared" si="131"/>
        <v>Break Tackle</v>
      </c>
      <c r="CM92" s="51" t="str">
        <f t="shared" si="132"/>
        <v>Break Tackle</v>
      </c>
      <c r="CN92" s="51" t="str">
        <f t="shared" si="133"/>
        <v>Break Tackle</v>
      </c>
      <c r="CO92" s="51" t="str">
        <f t="shared" si="134"/>
        <v/>
      </c>
      <c r="CP92" s="51" t="str">
        <f t="shared" si="135"/>
        <v>Break Tackle</v>
      </c>
      <c r="CQ92" s="51" t="str">
        <f t="shared" si="136"/>
        <v>Break Tackle</v>
      </c>
      <c r="CR92" s="51" t="str">
        <f t="shared" si="137"/>
        <v>Break Tackle</v>
      </c>
      <c r="CS92" s="51" t="str">
        <f t="shared" si="138"/>
        <v>Break Tackle</v>
      </c>
      <c r="CT92" s="51" t="str">
        <f t="shared" si="139"/>
        <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Grab</v>
      </c>
      <c r="CI93" s="224" t="str">
        <f t="shared" si="145"/>
        <v>Grab</v>
      </c>
      <c r="CJ93" s="51" t="str">
        <f t="shared" si="129"/>
        <v>Grab</v>
      </c>
      <c r="CK93" s="51" t="str">
        <f t="shared" si="130"/>
        <v>Grab</v>
      </c>
      <c r="CL93" s="51" t="str">
        <f t="shared" si="131"/>
        <v>Grab</v>
      </c>
      <c r="CM93" s="51" t="str">
        <f t="shared" si="132"/>
        <v>Grab</v>
      </c>
      <c r="CN93" s="51" t="str">
        <f t="shared" si="133"/>
        <v>Grab</v>
      </c>
      <c r="CO93" s="51" t="str">
        <f t="shared" si="134"/>
        <v/>
      </c>
      <c r="CP93" s="51" t="str">
        <f t="shared" si="135"/>
        <v>Grab</v>
      </c>
      <c r="CQ93" s="51" t="str">
        <f t="shared" si="136"/>
        <v>Grab</v>
      </c>
      <c r="CR93" s="51" t="str">
        <f t="shared" si="137"/>
        <v>Grab</v>
      </c>
      <c r="CS93" s="51" t="str">
        <f t="shared" si="138"/>
        <v>Grab</v>
      </c>
      <c r="CT93" s="51" t="str">
        <f t="shared" si="139"/>
        <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Guard</v>
      </c>
      <c r="CI94" s="224" t="str">
        <f t="shared" si="145"/>
        <v>Guard</v>
      </c>
      <c r="CJ94" s="51" t="str">
        <f t="shared" si="129"/>
        <v>Guard</v>
      </c>
      <c r="CK94" s="51" t="str">
        <f t="shared" si="130"/>
        <v>Guard</v>
      </c>
      <c r="CL94" s="51" t="str">
        <f t="shared" si="131"/>
        <v>Guard</v>
      </c>
      <c r="CM94" s="51" t="str">
        <f t="shared" si="132"/>
        <v>Guard</v>
      </c>
      <c r="CN94" s="51" t="str">
        <f t="shared" si="133"/>
        <v>Guard</v>
      </c>
      <c r="CO94" s="51" t="str">
        <f t="shared" si="134"/>
        <v/>
      </c>
      <c r="CP94" s="51" t="str">
        <f t="shared" si="135"/>
        <v>Guard</v>
      </c>
      <c r="CQ94" s="51" t="str">
        <f t="shared" si="136"/>
        <v>Guard</v>
      </c>
      <c r="CR94" s="51" t="str">
        <f t="shared" si="137"/>
        <v>Guard</v>
      </c>
      <c r="CS94" s="51" t="str">
        <f t="shared" si="138"/>
        <v>Guard</v>
      </c>
      <c r="CT94" s="51" t="str">
        <f t="shared" si="139"/>
        <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Juggernaut</v>
      </c>
      <c r="CI95" s="224" t="str">
        <f t="shared" si="145"/>
        <v>Juggernaut</v>
      </c>
      <c r="CJ95" s="51" t="str">
        <f t="shared" si="129"/>
        <v>Juggernaut</v>
      </c>
      <c r="CK95" s="51" t="str">
        <f t="shared" si="130"/>
        <v>Juggernaut</v>
      </c>
      <c r="CL95" s="51" t="str">
        <f t="shared" si="131"/>
        <v>Juggernaut</v>
      </c>
      <c r="CM95" s="51" t="str">
        <f t="shared" si="132"/>
        <v>Juggernaut</v>
      </c>
      <c r="CN95" s="51" t="str">
        <f t="shared" si="133"/>
        <v>Juggernaut</v>
      </c>
      <c r="CO95" s="51" t="str">
        <f t="shared" si="134"/>
        <v/>
      </c>
      <c r="CP95" s="51" t="str">
        <f t="shared" si="135"/>
        <v>Juggernaut</v>
      </c>
      <c r="CQ95" s="51" t="str">
        <f t="shared" si="136"/>
        <v>Juggernaut</v>
      </c>
      <c r="CR95" s="51" t="str">
        <f t="shared" si="137"/>
        <v>Juggernaut</v>
      </c>
      <c r="CS95" s="51" t="str">
        <f t="shared" si="138"/>
        <v>Juggernaut</v>
      </c>
      <c r="CT95" s="51" t="str">
        <f t="shared" si="139"/>
        <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Mighty Blow (+1)</v>
      </c>
      <c r="CI96" s="224" t="str">
        <f t="shared" si="145"/>
        <v>Mighty Blow (+1)</v>
      </c>
      <c r="CJ96" s="51" t="str">
        <f t="shared" si="129"/>
        <v>Mighty Blow (+1)</v>
      </c>
      <c r="CK96" s="51" t="str">
        <f t="shared" si="130"/>
        <v>Mighty Blow (+1)</v>
      </c>
      <c r="CL96" s="51" t="str">
        <f t="shared" si="131"/>
        <v>Mighty Blow (+1)</v>
      </c>
      <c r="CM96" s="51" t="str">
        <f t="shared" si="132"/>
        <v>Mighty Blow (+1)</v>
      </c>
      <c r="CN96" s="51" t="str">
        <f t="shared" si="133"/>
        <v>Mighty Blow (+1)</v>
      </c>
      <c r="CO96" s="51" t="str">
        <f t="shared" si="134"/>
        <v/>
      </c>
      <c r="CP96" s="51" t="str">
        <f t="shared" si="135"/>
        <v>Mighty Blow (+1)</v>
      </c>
      <c r="CQ96" s="51" t="str">
        <f t="shared" si="136"/>
        <v>Mighty Blow (+1)</v>
      </c>
      <c r="CR96" s="51" t="str">
        <f t="shared" si="137"/>
        <v>Mighty Blow (+1)</v>
      </c>
      <c r="CS96" s="51" t="str">
        <f t="shared" si="138"/>
        <v>Mighty Blow (+1)</v>
      </c>
      <c r="CT96" s="51" t="str">
        <f t="shared" si="139"/>
        <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Multiple Blocks</v>
      </c>
      <c r="CI97" s="224" t="str">
        <f t="shared" si="145"/>
        <v>Multiple Blocks</v>
      </c>
      <c r="CJ97" s="51" t="str">
        <f t="shared" si="129"/>
        <v>Multiple Blocks</v>
      </c>
      <c r="CK97" s="51" t="str">
        <f t="shared" si="130"/>
        <v>Multiple Blocks</v>
      </c>
      <c r="CL97" s="51" t="str">
        <f t="shared" si="131"/>
        <v>Multiple Blocks</v>
      </c>
      <c r="CM97" s="51" t="str">
        <f t="shared" si="132"/>
        <v>Multiple Blocks</v>
      </c>
      <c r="CN97" s="51" t="str">
        <f t="shared" si="133"/>
        <v>Multiple Blocks</v>
      </c>
      <c r="CO97" s="51" t="str">
        <f t="shared" si="134"/>
        <v/>
      </c>
      <c r="CP97" s="51" t="str">
        <f t="shared" si="135"/>
        <v>Multiple Blocks</v>
      </c>
      <c r="CQ97" s="51" t="str">
        <f t="shared" si="136"/>
        <v>Multiple Blocks</v>
      </c>
      <c r="CR97" s="51" t="str">
        <f t="shared" si="137"/>
        <v>Multiple Blocks</v>
      </c>
      <c r="CS97" s="51" t="str">
        <f t="shared" si="138"/>
        <v>Multiple Blocks</v>
      </c>
      <c r="CT97" s="51" t="str">
        <f t="shared" si="139"/>
        <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Pile Diver</v>
      </c>
      <c r="CI98" s="224" t="str">
        <f t="shared" si="145"/>
        <v>Pile Diver</v>
      </c>
      <c r="CJ98" s="51" t="str">
        <f t="shared" si="129"/>
        <v>Pile Diver</v>
      </c>
      <c r="CK98" s="51" t="str">
        <f t="shared" si="130"/>
        <v>Pile Diver</v>
      </c>
      <c r="CL98" s="51" t="str">
        <f t="shared" si="131"/>
        <v>Pile Diver</v>
      </c>
      <c r="CM98" s="51" t="str">
        <f t="shared" si="132"/>
        <v>Pile Diver</v>
      </c>
      <c r="CN98" s="51" t="str">
        <f t="shared" si="133"/>
        <v>Pile Diver</v>
      </c>
      <c r="CO98" s="51" t="str">
        <f t="shared" si="134"/>
        <v/>
      </c>
      <c r="CP98" s="51" t="str">
        <f t="shared" si="135"/>
        <v>Pile Diver</v>
      </c>
      <c r="CQ98" s="51" t="str">
        <f t="shared" si="136"/>
        <v>Pile Diver</v>
      </c>
      <c r="CR98" s="51" t="str">
        <f t="shared" si="137"/>
        <v>Pile Diver</v>
      </c>
      <c r="CS98" s="51" t="str">
        <f t="shared" si="138"/>
        <v>Pile Diver</v>
      </c>
      <c r="CT98" s="51" t="str">
        <f t="shared" si="139"/>
        <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Stand Firm</v>
      </c>
      <c r="CI99" s="224" t="str">
        <f t="shared" si="145"/>
        <v>Stand Firm</v>
      </c>
      <c r="CJ99" s="51" t="str">
        <f t="shared" si="129"/>
        <v>Stand Firm</v>
      </c>
      <c r="CK99" s="51" t="str">
        <f t="shared" si="130"/>
        <v>Stand Firm</v>
      </c>
      <c r="CL99" s="51" t="str">
        <f t="shared" si="131"/>
        <v>Stand Firm</v>
      </c>
      <c r="CM99" s="51" t="str">
        <f t="shared" si="132"/>
        <v>Stand Firm</v>
      </c>
      <c r="CN99" s="51" t="str">
        <f t="shared" si="133"/>
        <v>Stand Firm</v>
      </c>
      <c r="CO99" s="51" t="str">
        <f t="shared" si="134"/>
        <v/>
      </c>
      <c r="CP99" s="51" t="str">
        <f t="shared" si="135"/>
        <v>Stand Firm</v>
      </c>
      <c r="CQ99" s="51" t="str">
        <f t="shared" si="136"/>
        <v>Stand Firm</v>
      </c>
      <c r="CR99" s="51" t="str">
        <f t="shared" si="137"/>
        <v>Stand Firm</v>
      </c>
      <c r="CS99" s="51" t="str">
        <f t="shared" si="138"/>
        <v>Stand Firm</v>
      </c>
      <c r="CT99" s="51" t="str">
        <f t="shared" si="139"/>
        <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Strong Arm</v>
      </c>
      <c r="CI100" s="224" t="str">
        <f t="shared" si="145"/>
        <v>Strong Arm</v>
      </c>
      <c r="CJ100" s="51" t="str">
        <f t="shared" si="129"/>
        <v>Strong Arm</v>
      </c>
      <c r="CK100" s="51" t="str">
        <f t="shared" si="130"/>
        <v>Strong Arm</v>
      </c>
      <c r="CL100" s="51" t="str">
        <f t="shared" si="131"/>
        <v>Strong Arm</v>
      </c>
      <c r="CM100" s="51" t="str">
        <f t="shared" si="132"/>
        <v>Strong Arm</v>
      </c>
      <c r="CN100" s="51" t="str">
        <f t="shared" si="133"/>
        <v>Strong Arm</v>
      </c>
      <c r="CO100" s="51" t="str">
        <f t="shared" si="134"/>
        <v/>
      </c>
      <c r="CP100" s="51" t="str">
        <f t="shared" si="135"/>
        <v>Strong Arm</v>
      </c>
      <c r="CQ100" s="51" t="str">
        <f t="shared" si="136"/>
        <v>Strong Arm</v>
      </c>
      <c r="CR100" s="51" t="str">
        <f t="shared" si="137"/>
        <v>Strong Arm</v>
      </c>
      <c r="CS100" s="51" t="str">
        <f t="shared" si="138"/>
        <v>Strong Arm</v>
      </c>
      <c r="CT100" s="51" t="str">
        <f t="shared" si="139"/>
        <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Thick Skull</v>
      </c>
      <c r="CI101" s="224" t="str">
        <f t="shared" si="145"/>
        <v>Thick Skull</v>
      </c>
      <c r="CJ101" s="51" t="str">
        <f t="shared" si="129"/>
        <v>Thick Skull</v>
      </c>
      <c r="CK101" s="51" t="str">
        <f t="shared" si="130"/>
        <v>Thick Skull</v>
      </c>
      <c r="CL101" s="51" t="str">
        <f t="shared" si="131"/>
        <v>Thick Skull</v>
      </c>
      <c r="CM101" s="51" t="str">
        <f t="shared" si="132"/>
        <v>Thick Skull</v>
      </c>
      <c r="CN101" s="51" t="str">
        <f t="shared" si="133"/>
        <v>Thick Skull</v>
      </c>
      <c r="CO101" s="51" t="str">
        <f t="shared" si="134"/>
        <v/>
      </c>
      <c r="CP101" s="51" t="str">
        <f t="shared" si="135"/>
        <v>Thick Skull</v>
      </c>
      <c r="CQ101" s="51" t="str">
        <f t="shared" si="136"/>
        <v>Thick Skull</v>
      </c>
      <c r="CR101" s="51" t="str">
        <f t="shared" si="137"/>
        <v>Thick Skull</v>
      </c>
      <c r="CS101" s="51" t="str">
        <f t="shared" si="138"/>
        <v>Thick Skull</v>
      </c>
      <c r="CT101" s="51" t="str">
        <f t="shared" si="139"/>
        <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Big Hand</v>
      </c>
      <c r="CI102" s="224" t="str">
        <f t="shared" si="145"/>
        <v>Big Hand</v>
      </c>
      <c r="CJ102" s="51" t="str">
        <f t="shared" si="129"/>
        <v>Big Hand</v>
      </c>
      <c r="CK102" s="51" t="str">
        <f t="shared" si="130"/>
        <v>Big Hand</v>
      </c>
      <c r="CL102" s="51" t="str">
        <f t="shared" si="131"/>
        <v>Big Hand</v>
      </c>
      <c r="CM102" s="51" t="str">
        <f t="shared" si="132"/>
        <v>Big Hand</v>
      </c>
      <c r="CN102" s="51" t="str">
        <f t="shared" si="133"/>
        <v>Big Hand</v>
      </c>
      <c r="CO102" s="51" t="str">
        <f t="shared" si="134"/>
        <v/>
      </c>
      <c r="CP102" s="51" t="str">
        <f t="shared" si="135"/>
        <v/>
      </c>
      <c r="CQ102" s="51" t="str">
        <f t="shared" si="136"/>
        <v/>
      </c>
      <c r="CR102" s="51" t="str">
        <f t="shared" si="137"/>
        <v/>
      </c>
      <c r="CS102" s="51" t="str">
        <f t="shared" si="138"/>
        <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Claw / Claws</v>
      </c>
      <c r="CI103" s="224" t="str">
        <f t="shared" si="145"/>
        <v>Claw / Claws</v>
      </c>
      <c r="CJ103" s="51" t="str">
        <f t="shared" si="129"/>
        <v>Claw / Claws</v>
      </c>
      <c r="CK103" s="51" t="str">
        <f t="shared" si="130"/>
        <v>Claw / Claws</v>
      </c>
      <c r="CL103" s="51" t="str">
        <f t="shared" si="131"/>
        <v>Claw / Claws</v>
      </c>
      <c r="CM103" s="51" t="str">
        <f t="shared" si="132"/>
        <v>Claw / Claws</v>
      </c>
      <c r="CN103" s="51" t="str">
        <f t="shared" si="133"/>
        <v>Claw / Claws</v>
      </c>
      <c r="CO103" s="51" t="str">
        <f t="shared" si="134"/>
        <v/>
      </c>
      <c r="CP103" s="51" t="str">
        <f t="shared" si="135"/>
        <v/>
      </c>
      <c r="CQ103" s="51" t="str">
        <f t="shared" si="136"/>
        <v/>
      </c>
      <c r="CR103" s="51" t="str">
        <f t="shared" si="137"/>
        <v/>
      </c>
      <c r="CS103" s="51" t="str">
        <f t="shared" si="138"/>
        <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Disturbing Presence</v>
      </c>
      <c r="CI104" s="224" t="str">
        <f t="shared" si="145"/>
        <v>Disturbing Presence</v>
      </c>
      <c r="CJ104" s="51" t="str">
        <f t="shared" si="129"/>
        <v>Disturbing Presence</v>
      </c>
      <c r="CK104" s="51" t="str">
        <f t="shared" si="130"/>
        <v>Disturbing Presence</v>
      </c>
      <c r="CL104" s="51" t="str">
        <f t="shared" si="131"/>
        <v>Disturbing Presence</v>
      </c>
      <c r="CM104" s="51" t="str">
        <f t="shared" si="132"/>
        <v>Disturbing Presence</v>
      </c>
      <c r="CN104" s="51" t="str">
        <f t="shared" si="133"/>
        <v>Disturbing Presence</v>
      </c>
      <c r="CO104" s="51" t="str">
        <f t="shared" si="134"/>
        <v/>
      </c>
      <c r="CP104" s="51" t="str">
        <f t="shared" si="135"/>
        <v/>
      </c>
      <c r="CQ104" s="51" t="str">
        <f t="shared" si="136"/>
        <v/>
      </c>
      <c r="CR104" s="51" t="str">
        <f t="shared" si="137"/>
        <v/>
      </c>
      <c r="CS104" s="51" t="str">
        <f t="shared" si="138"/>
        <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Extra Arms</v>
      </c>
      <c r="CI105" s="224" t="str">
        <f t="shared" si="145"/>
        <v>Extra Arms</v>
      </c>
      <c r="CJ105" s="51" t="str">
        <f t="shared" si="129"/>
        <v>Extra Arms</v>
      </c>
      <c r="CK105" s="51" t="str">
        <f t="shared" si="130"/>
        <v>Extra Arms</v>
      </c>
      <c r="CL105" s="51" t="str">
        <f t="shared" si="131"/>
        <v>Extra Arms</v>
      </c>
      <c r="CM105" s="51" t="str">
        <f t="shared" si="132"/>
        <v>Extra Arms</v>
      </c>
      <c r="CN105" s="51" t="str">
        <f t="shared" si="133"/>
        <v>Extra Arms</v>
      </c>
      <c r="CO105" s="51" t="str">
        <f t="shared" si="134"/>
        <v/>
      </c>
      <c r="CP105" s="51" t="str">
        <f t="shared" si="135"/>
        <v/>
      </c>
      <c r="CQ105" s="51" t="str">
        <f t="shared" si="136"/>
        <v/>
      </c>
      <c r="CR105" s="51" t="str">
        <f t="shared" si="137"/>
        <v/>
      </c>
      <c r="CS105" s="51" t="str">
        <f t="shared" si="138"/>
        <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Foul Appearance</v>
      </c>
      <c r="CI106" s="224" t="str">
        <f t="shared" si="145"/>
        <v>Foul Appearance</v>
      </c>
      <c r="CJ106" s="51" t="str">
        <f t="shared" si="129"/>
        <v>Foul Appearance</v>
      </c>
      <c r="CK106" s="51" t="str">
        <f t="shared" si="130"/>
        <v>Foul Appearance</v>
      </c>
      <c r="CL106" s="51" t="str">
        <f t="shared" si="131"/>
        <v>Foul Appearance</v>
      </c>
      <c r="CM106" s="51" t="str">
        <f t="shared" si="132"/>
        <v>Foul Appearance</v>
      </c>
      <c r="CN106" s="51" t="str">
        <f t="shared" si="133"/>
        <v>Foul Appearance</v>
      </c>
      <c r="CO106" s="51" t="str">
        <f t="shared" si="134"/>
        <v/>
      </c>
      <c r="CP106" s="51" t="str">
        <f t="shared" si="135"/>
        <v/>
      </c>
      <c r="CQ106" s="51" t="str">
        <f t="shared" si="136"/>
        <v/>
      </c>
      <c r="CR106" s="51" t="str">
        <f t="shared" si="137"/>
        <v/>
      </c>
      <c r="CS106" s="51" t="str">
        <f t="shared" si="138"/>
        <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Horns</v>
      </c>
      <c r="CI107" s="224" t="str">
        <f t="shared" si="145"/>
        <v>Horns</v>
      </c>
      <c r="CJ107" s="51" t="str">
        <f t="shared" si="129"/>
        <v>Horns</v>
      </c>
      <c r="CK107" s="51" t="str">
        <f t="shared" si="130"/>
        <v>Horns</v>
      </c>
      <c r="CL107" s="51" t="str">
        <f t="shared" si="131"/>
        <v>Horns</v>
      </c>
      <c r="CM107" s="51" t="str">
        <f t="shared" si="132"/>
        <v>Horns</v>
      </c>
      <c r="CN107" s="51" t="str">
        <f t="shared" si="133"/>
        <v>Horns</v>
      </c>
      <c r="CO107" s="51" t="str">
        <f t="shared" si="134"/>
        <v/>
      </c>
      <c r="CP107" s="51" t="str">
        <f t="shared" si="135"/>
        <v/>
      </c>
      <c r="CQ107" s="51" t="str">
        <f t="shared" si="136"/>
        <v/>
      </c>
      <c r="CR107" s="51" t="str">
        <f t="shared" si="137"/>
        <v/>
      </c>
      <c r="CS107" s="51" t="str">
        <f t="shared" si="138"/>
        <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Iron Hard Skin</v>
      </c>
      <c r="CI108" s="224" t="str">
        <f t="shared" si="145"/>
        <v>Iron Hard Skin</v>
      </c>
      <c r="CJ108" s="51" t="str">
        <f t="shared" si="129"/>
        <v>Iron Hard Skin</v>
      </c>
      <c r="CK108" s="51" t="str">
        <f t="shared" si="130"/>
        <v>Iron Hard Skin</v>
      </c>
      <c r="CL108" s="51" t="str">
        <f t="shared" si="131"/>
        <v>Iron Hard Skin</v>
      </c>
      <c r="CM108" s="51" t="str">
        <f t="shared" si="132"/>
        <v>Iron Hard Skin</v>
      </c>
      <c r="CN108" s="51" t="str">
        <f t="shared" si="133"/>
        <v>Iron Hard Skin</v>
      </c>
      <c r="CO108" s="51" t="str">
        <f t="shared" si="134"/>
        <v/>
      </c>
      <c r="CP108" s="51" t="str">
        <f t="shared" si="135"/>
        <v/>
      </c>
      <c r="CQ108" s="51" t="str">
        <f t="shared" si="136"/>
        <v/>
      </c>
      <c r="CR108" s="51" t="str">
        <f t="shared" si="137"/>
        <v/>
      </c>
      <c r="CS108" s="51" t="str">
        <f t="shared" si="138"/>
        <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Monstrous Mouth</v>
      </c>
      <c r="CI109" s="224" t="str">
        <f t="shared" si="145"/>
        <v>Monstrous Mouth</v>
      </c>
      <c r="CJ109" s="51" t="str">
        <f t="shared" si="129"/>
        <v>Monstrous Mouth</v>
      </c>
      <c r="CK109" s="51" t="str">
        <f t="shared" si="130"/>
        <v>Monstrous Mouth</v>
      </c>
      <c r="CL109" s="51" t="str">
        <f t="shared" si="131"/>
        <v>Monstrous Mouth</v>
      </c>
      <c r="CM109" s="51" t="str">
        <f t="shared" si="132"/>
        <v>Monstrous Mouth</v>
      </c>
      <c r="CN109" s="51" t="str">
        <f t="shared" si="133"/>
        <v>Monstrous Mouth</v>
      </c>
      <c r="CO109" s="51" t="str">
        <f t="shared" si="134"/>
        <v/>
      </c>
      <c r="CP109" s="51" t="str">
        <f t="shared" si="135"/>
        <v/>
      </c>
      <c r="CQ109" s="51" t="str">
        <f t="shared" si="136"/>
        <v/>
      </c>
      <c r="CR109" s="51" t="str">
        <f t="shared" si="137"/>
        <v/>
      </c>
      <c r="CS109" s="51" t="str">
        <f t="shared" si="138"/>
        <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Prehensile Tail</v>
      </c>
      <c r="CI110" s="224" t="str">
        <f t="shared" si="145"/>
        <v>Prehensile Tail</v>
      </c>
      <c r="CJ110" s="51" t="str">
        <f t="shared" si="129"/>
        <v>Prehensile Tail</v>
      </c>
      <c r="CK110" s="51" t="str">
        <f t="shared" si="130"/>
        <v>Prehensile Tail</v>
      </c>
      <c r="CL110" s="51" t="str">
        <f t="shared" si="131"/>
        <v>Prehensile Tail</v>
      </c>
      <c r="CM110" s="51" t="str">
        <f t="shared" si="132"/>
        <v>Prehensile Tail</v>
      </c>
      <c r="CN110" s="51" t="str">
        <f t="shared" si="133"/>
        <v>Prehensile Tail</v>
      </c>
      <c r="CO110" s="51" t="str">
        <f t="shared" si="134"/>
        <v/>
      </c>
      <c r="CP110" s="51" t="str">
        <f t="shared" si="135"/>
        <v/>
      </c>
      <c r="CQ110" s="51" t="str">
        <f t="shared" si="136"/>
        <v/>
      </c>
      <c r="CR110" s="51" t="str">
        <f t="shared" si="137"/>
        <v/>
      </c>
      <c r="CS110" s="51" t="str">
        <f t="shared" si="138"/>
        <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Tentacles</v>
      </c>
      <c r="CI111" s="224" t="str">
        <f t="shared" si="145"/>
        <v>Tentacles</v>
      </c>
      <c r="CJ111" s="51" t="str">
        <f t="shared" si="129"/>
        <v>Tentacles</v>
      </c>
      <c r="CK111" s="51" t="str">
        <f t="shared" si="130"/>
        <v>Tentacles</v>
      </c>
      <c r="CL111" s="51" t="str">
        <f t="shared" si="131"/>
        <v>Tentacles</v>
      </c>
      <c r="CM111" s="51" t="str">
        <f t="shared" si="132"/>
        <v>Tentacles</v>
      </c>
      <c r="CN111" s="51" t="str">
        <f t="shared" si="133"/>
        <v>Tentacles</v>
      </c>
      <c r="CO111" s="51" t="str">
        <f t="shared" si="134"/>
        <v/>
      </c>
      <c r="CP111" s="51" t="str">
        <f t="shared" si="135"/>
        <v/>
      </c>
      <c r="CQ111" s="51" t="str">
        <f t="shared" si="136"/>
        <v/>
      </c>
      <c r="CR111" s="51" t="str">
        <f t="shared" si="137"/>
        <v/>
      </c>
      <c r="CS111" s="51" t="str">
        <f t="shared" si="138"/>
        <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Two Heads</v>
      </c>
      <c r="CI112" s="224" t="str">
        <f t="shared" si="145"/>
        <v>Two Heads</v>
      </c>
      <c r="CJ112" s="51" t="str">
        <f t="shared" si="129"/>
        <v>Two Heads</v>
      </c>
      <c r="CK112" s="51" t="str">
        <f t="shared" si="130"/>
        <v>Two Heads</v>
      </c>
      <c r="CL112" s="51" t="str">
        <f t="shared" si="131"/>
        <v>Two Heads</v>
      </c>
      <c r="CM112" s="51" t="str">
        <f t="shared" si="132"/>
        <v>Two Heads</v>
      </c>
      <c r="CN112" s="51" t="str">
        <f t="shared" si="133"/>
        <v>Two Heads</v>
      </c>
      <c r="CO112" s="51" t="str">
        <f t="shared" si="134"/>
        <v/>
      </c>
      <c r="CP112" s="51" t="str">
        <f t="shared" si="135"/>
        <v/>
      </c>
      <c r="CQ112" s="51" t="str">
        <f t="shared" si="136"/>
        <v/>
      </c>
      <c r="CR112" s="51" t="str">
        <f t="shared" si="137"/>
        <v/>
      </c>
      <c r="CS112" s="51" t="str">
        <f t="shared" si="138"/>
        <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Very Long Legs</v>
      </c>
      <c r="CI113" s="224" t="str">
        <f t="shared" si="145"/>
        <v>Very Long Legs</v>
      </c>
      <c r="CJ113" s="51" t="str">
        <f t="shared" si="129"/>
        <v>Very Long Legs</v>
      </c>
      <c r="CK113" s="51" t="str">
        <f t="shared" si="130"/>
        <v>Very Long Legs</v>
      </c>
      <c r="CL113" s="51" t="str">
        <f t="shared" si="131"/>
        <v>Very Long Legs</v>
      </c>
      <c r="CM113" s="51" t="str">
        <f t="shared" si="132"/>
        <v>Very Long Legs</v>
      </c>
      <c r="CN113" s="51" t="str">
        <f t="shared" si="133"/>
        <v>Very Long Legs</v>
      </c>
      <c r="CO113" s="51" t="str">
        <f t="shared" si="134"/>
        <v/>
      </c>
      <c r="CP113" s="51" t="str">
        <f t="shared" si="135"/>
        <v/>
      </c>
      <c r="CQ113" s="51" t="str">
        <f t="shared" si="136"/>
        <v/>
      </c>
      <c r="CR113" s="51" t="str">
        <f t="shared" si="137"/>
        <v/>
      </c>
      <c r="CS113" s="51" t="str">
        <f t="shared" si="138"/>
        <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F52">
    <cfRule type="cellIs" dxfId="133" priority="13" operator="equal">
      <formula>0</formula>
    </cfRule>
  </conditionalFormatting>
  <conditionalFormatting sqref="D2:G2">
    <cfRule type="expression" dxfId="132" priority="6">
      <formula>$AA$3&lt;&gt;""</formula>
    </cfRule>
  </conditionalFormatting>
  <conditionalFormatting sqref="D3:G3">
    <cfRule type="expression" dxfId="131" priority="5">
      <formula>$AA$4&lt;&gt;""</formula>
    </cfRule>
  </conditionalFormatting>
  <conditionalFormatting sqref="D4:G4">
    <cfRule type="expression" dxfId="130" priority="4">
      <formula>$AA$5&lt;&gt;""</formula>
    </cfRule>
  </conditionalFormatting>
  <conditionalFormatting sqref="D5:G5">
    <cfRule type="expression" dxfId="129" priority="3">
      <formula>$AA$6&lt;&gt;""</formula>
    </cfRule>
  </conditionalFormatting>
  <conditionalFormatting sqref="D6:G6">
    <cfRule type="expression" dxfId="128" priority="2">
      <formula>$AA$2&lt;&gt;""</formula>
    </cfRule>
  </conditionalFormatting>
  <conditionalFormatting sqref="D13:G13">
    <cfRule type="expression" dxfId="127" priority="1">
      <formula>$AA$9&lt;&gt;""</formula>
    </cfRule>
  </conditionalFormatting>
  <conditionalFormatting sqref="D17:G17">
    <cfRule type="expression" dxfId="126" priority="8">
      <formula>$AA$16&lt;&gt;""</formula>
    </cfRule>
  </conditionalFormatting>
  <conditionalFormatting sqref="D7:AP7">
    <cfRule type="expression" dxfId="125" priority="174">
      <formula>$AA$7&lt;&gt;""</formula>
    </cfRule>
  </conditionalFormatting>
  <conditionalFormatting sqref="D8:AP8">
    <cfRule type="expression" dxfId="124" priority="175">
      <formula>$AA$8&lt;&gt;""</formula>
    </cfRule>
  </conditionalFormatting>
  <conditionalFormatting sqref="D9:AP9">
    <cfRule type="expression" dxfId="123" priority="176">
      <formula>$AA$9&lt;&gt;""</formula>
    </cfRule>
  </conditionalFormatting>
  <conditionalFormatting sqref="D10:AP10">
    <cfRule type="expression" dxfId="122" priority="177">
      <formula>$AA$10&lt;&gt;""</formula>
    </cfRule>
  </conditionalFormatting>
  <conditionalFormatting sqref="D11:AP11">
    <cfRule type="expression" dxfId="121" priority="178">
      <formula>$AA$11&lt;&gt;""</formula>
    </cfRule>
  </conditionalFormatting>
  <conditionalFormatting sqref="D12:AP12">
    <cfRule type="expression" dxfId="120" priority="179">
      <formula>$AA$12&lt;&gt;""</formula>
    </cfRule>
  </conditionalFormatting>
  <conditionalFormatting sqref="D14:AP14">
    <cfRule type="expression" dxfId="119" priority="181">
      <formula>$AA$14&lt;&gt;""</formula>
    </cfRule>
  </conditionalFormatting>
  <conditionalFormatting sqref="D15:AP15">
    <cfRule type="expression" dxfId="118" priority="219">
      <formula>$AA$15&lt;&gt;""</formula>
    </cfRule>
  </conditionalFormatting>
  <conditionalFormatting sqref="D16:AP16">
    <cfRule type="expression" dxfId="117" priority="182">
      <formula>$AA$16&lt;&gt;""</formula>
    </cfRule>
  </conditionalFormatting>
  <conditionalFormatting sqref="H37:H52">
    <cfRule type="cellIs" dxfId="116" priority="23" operator="equal">
      <formula>0</formula>
    </cfRule>
  </conditionalFormatting>
  <conditionalFormatting sqref="H3:I4">
    <cfRule type="expression" dxfId="115" priority="58">
      <formula>#REF!="MNG"</formula>
    </cfRule>
    <cfRule type="cellIs" dxfId="114" priority="59" operator="equal">
      <formula>0</formula>
    </cfRule>
  </conditionalFormatting>
  <conditionalFormatting sqref="H5:I5">
    <cfRule type="expression" dxfId="113" priority="62">
      <formula>$BK$39="MNG"</formula>
    </cfRule>
    <cfRule type="cellIs" dxfId="112" priority="63" operator="equal">
      <formula>0</formula>
    </cfRule>
  </conditionalFormatting>
  <conditionalFormatting sqref="H6:I6">
    <cfRule type="cellIs" dxfId="111" priority="185" operator="equal">
      <formula>0</formula>
    </cfRule>
    <cfRule type="expression" dxfId="110" priority="184">
      <formula>$AS$61="MNG"</formula>
    </cfRule>
  </conditionalFormatting>
  <conditionalFormatting sqref="H7:I7">
    <cfRule type="cellIs" dxfId="109" priority="187" operator="equal">
      <formula>0</formula>
    </cfRule>
    <cfRule type="expression" dxfId="108" priority="186">
      <formula>$AS$62="MNG"</formula>
    </cfRule>
  </conditionalFormatting>
  <conditionalFormatting sqref="H8:I8">
    <cfRule type="cellIs" dxfId="107" priority="189" operator="equal">
      <formula>0</formula>
    </cfRule>
    <cfRule type="expression" dxfId="106" priority="188">
      <formula>$AS$63="MNG"</formula>
    </cfRule>
  </conditionalFormatting>
  <conditionalFormatting sqref="H9:I9">
    <cfRule type="expression" dxfId="105" priority="51">
      <formula>$AS$64="MNG"</formula>
    </cfRule>
    <cfRule type="cellIs" dxfId="104" priority="52" operator="equal">
      <formula>0</formula>
    </cfRule>
  </conditionalFormatting>
  <conditionalFormatting sqref="H10:I10">
    <cfRule type="expression" dxfId="103" priority="53">
      <formula>$AS$65="MNG"</formula>
    </cfRule>
    <cfRule type="cellIs" dxfId="102" priority="54" operator="equal">
      <formula>0</formula>
    </cfRule>
  </conditionalFormatting>
  <conditionalFormatting sqref="H11:I11">
    <cfRule type="cellIs" dxfId="101" priority="65" operator="equal">
      <formula>0</formula>
    </cfRule>
    <cfRule type="expression" dxfId="100" priority="64">
      <formula>$BK$45="MNG"</formula>
    </cfRule>
  </conditionalFormatting>
  <conditionalFormatting sqref="H12:I12">
    <cfRule type="cellIs" dxfId="99" priority="67" operator="equal">
      <formula>0</formula>
    </cfRule>
    <cfRule type="expression" dxfId="98" priority="66">
      <formula>$BK$46="MNG"</formula>
    </cfRule>
  </conditionalFormatting>
  <conditionalFormatting sqref="H13:I13">
    <cfRule type="cellIs" dxfId="97" priority="69" operator="equal">
      <formula>0</formula>
    </cfRule>
    <cfRule type="expression" dxfId="96" priority="68">
      <formula>$BK$47="MNG"</formula>
    </cfRule>
  </conditionalFormatting>
  <conditionalFormatting sqref="H14:I14">
    <cfRule type="expression" dxfId="95" priority="70">
      <formula>$BK$48="MNG"</formula>
    </cfRule>
  </conditionalFormatting>
  <conditionalFormatting sqref="H14:I15">
    <cfRule type="cellIs" dxfId="94" priority="71" operator="equal">
      <formula>0</formula>
    </cfRule>
  </conditionalFormatting>
  <conditionalFormatting sqref="H18:J18">
    <cfRule type="expression" dxfId="93" priority="206">
      <formula>$D$18="Star Players"</formula>
    </cfRule>
  </conditionalFormatting>
  <conditionalFormatting sqref="H19:J19">
    <cfRule type="expression" dxfId="92" priority="207">
      <formula>$D$19="Star Players"</formula>
    </cfRule>
  </conditionalFormatting>
  <conditionalFormatting sqref="H20:J20">
    <cfRule type="expression" dxfId="91" priority="43">
      <formula>$D$19="Star Players"</formula>
    </cfRule>
  </conditionalFormatting>
  <conditionalFormatting sqref="H2:O19 P18:AN19">
    <cfRule type="cellIs" dxfId="90" priority="55" operator="equal">
      <formula>0</formula>
    </cfRule>
  </conditionalFormatting>
  <conditionalFormatting sqref="H20:AN20">
    <cfRule type="cellIs" dxfId="89" priority="42" operator="equal">
      <formula>0</formula>
    </cfRule>
  </conditionalFormatting>
  <conditionalFormatting sqref="H2:AP2">
    <cfRule type="expression" dxfId="88" priority="195">
      <formula>$AA$2&lt;&gt;""</formula>
    </cfRule>
  </conditionalFormatting>
  <conditionalFormatting sqref="H3:AP3">
    <cfRule type="expression" dxfId="87" priority="170">
      <formula>$AA$3&lt;&gt;""</formula>
    </cfRule>
  </conditionalFormatting>
  <conditionalFormatting sqref="H4:AP4">
    <cfRule type="expression" dxfId="86" priority="171">
      <formula>$AA$4&lt;&gt;""</formula>
    </cfRule>
  </conditionalFormatting>
  <conditionalFormatting sqref="H5:AP5">
    <cfRule type="expression" dxfId="85" priority="172">
      <formula>$AA$5&lt;&gt;""</formula>
    </cfRule>
  </conditionalFormatting>
  <conditionalFormatting sqref="H6:AP6">
    <cfRule type="expression" dxfId="84" priority="173">
      <formula>$AA$6&lt;&gt;""</formula>
    </cfRule>
  </conditionalFormatting>
  <conditionalFormatting sqref="H13:AP13">
    <cfRule type="expression" dxfId="83" priority="180">
      <formula>$AA$13&lt;&gt;""</formula>
    </cfRule>
  </conditionalFormatting>
  <conditionalFormatting sqref="H17:AP17">
    <cfRule type="expression" dxfId="82" priority="183">
      <formula>$AA$17&lt;&gt;""</formula>
    </cfRule>
  </conditionalFormatting>
  <conditionalFormatting sqref="J18:J20">
    <cfRule type="cellIs" dxfId="81" priority="41" operator="equal">
      <formula>2</formula>
    </cfRule>
  </conditionalFormatting>
  <conditionalFormatting sqref="K2:L2">
    <cfRule type="cellIs" dxfId="80" priority="201" operator="greaterThan">
      <formula>X61</formula>
    </cfRule>
    <cfRule type="cellIs" dxfId="79" priority="200" operator="lessThan">
      <formula>X61</formula>
    </cfRule>
  </conditionalFormatting>
  <conditionalFormatting sqref="K3:L14">
    <cfRule type="cellIs" dxfId="78" priority="73" operator="greaterThan">
      <formula>X62</formula>
    </cfRule>
    <cfRule type="cellIs" dxfId="77" priority="72" operator="lessThan">
      <formula>X62</formula>
    </cfRule>
  </conditionalFormatting>
  <conditionalFormatting sqref="K15:L15 O15">
    <cfRule type="cellIs" dxfId="76" priority="210" operator="equal">
      <formula>0</formula>
    </cfRule>
  </conditionalFormatting>
  <conditionalFormatting sqref="K15:L15">
    <cfRule type="cellIs" dxfId="75" priority="212" operator="lessThan">
      <formula>X74</formula>
    </cfRule>
    <cfRule type="cellIs" dxfId="74" priority="213" operator="greaterThan">
      <formula>X74</formula>
    </cfRule>
  </conditionalFormatting>
  <conditionalFormatting sqref="K16:L17">
    <cfRule type="cellIs" dxfId="73" priority="97" operator="greaterThan">
      <formula>X75</formula>
    </cfRule>
    <cfRule type="cellIs" dxfId="72" priority="96" operator="lessThan">
      <formula>X75</formula>
    </cfRule>
  </conditionalFormatting>
  <conditionalFormatting sqref="K18:O19">
    <cfRule type="cellIs" dxfId="71" priority="230" operator="equal">
      <formula>0</formula>
    </cfRule>
  </conditionalFormatting>
  <conditionalFormatting sqref="K20:O20">
    <cfRule type="cellIs" dxfId="70" priority="46" operator="equal">
      <formula>0</formula>
    </cfRule>
  </conditionalFormatting>
  <conditionalFormatting sqref="L37:L52">
    <cfRule type="cellIs" dxfId="69" priority="12" operator="equal">
      <formula>0</formula>
    </cfRule>
  </conditionalFormatting>
  <conditionalFormatting sqref="M2:M17">
    <cfRule type="expression" dxfId="68" priority="198">
      <formula>N61&gt;Z61</formula>
    </cfRule>
    <cfRule type="expression" dxfId="67" priority="199">
      <formula>N61&lt;Z61</formula>
    </cfRule>
  </conditionalFormatting>
  <conditionalFormatting sqref="M2:O17">
    <cfRule type="cellIs" dxfId="66" priority="56" operator="equal">
      <formula>"0+"</formula>
    </cfRule>
  </conditionalFormatting>
  <conditionalFormatting sqref="N2:N17">
    <cfRule type="expression" dxfId="65" priority="222">
      <formula>O61&lt;AA61</formula>
    </cfRule>
    <cfRule type="expression" dxfId="64" priority="221">
      <formula>O61&gt;AA61</formula>
    </cfRule>
  </conditionalFormatting>
  <conditionalFormatting sqref="N37:P52">
    <cfRule type="cellIs" dxfId="63" priority="11" operator="equal">
      <formula>0</formula>
    </cfRule>
  </conditionalFormatting>
  <conditionalFormatting sqref="O2">
    <cfRule type="expression" dxfId="62" priority="204">
      <formula>P61&lt;AB61</formula>
    </cfRule>
    <cfRule type="expression" dxfId="61" priority="205">
      <formula>P61&gt;AB61</formula>
    </cfRule>
  </conditionalFormatting>
  <conditionalFormatting sqref="O3:O14">
    <cfRule type="expression" dxfId="60" priority="103">
      <formula>P62&lt;AB62</formula>
    </cfRule>
    <cfRule type="expression" dxfId="59" priority="104">
      <formula>P62&gt;AB62</formula>
    </cfRule>
  </conditionalFormatting>
  <conditionalFormatting sqref="O15">
    <cfRule type="expression" dxfId="58" priority="218">
      <formula>P74&gt;AB74</formula>
    </cfRule>
    <cfRule type="expression" dxfId="57" priority="217">
      <formula>P74&lt;AB74</formula>
    </cfRule>
  </conditionalFormatting>
  <conditionalFormatting sqref="O16:O17">
    <cfRule type="expression" dxfId="56" priority="163">
      <formula>P75&lt;AB75</formula>
    </cfRule>
    <cfRule type="expression" dxfId="55" priority="164">
      <formula>P75&gt;AB75</formula>
    </cfRule>
  </conditionalFormatting>
  <conditionalFormatting sqref="P2:P17">
    <cfRule type="cellIs" dxfId="54" priority="196" operator="equal">
      <formula>0&amp;BG2</formula>
    </cfRule>
    <cfRule type="expression" dxfId="53" priority="197">
      <formula>AX2&lt;&gt;""</formula>
    </cfRule>
  </conditionalFormatting>
  <conditionalFormatting sqref="P18:AN18">
    <cfRule type="expression" dxfId="52" priority="208">
      <formula>$AT$18&lt;&gt;""</formula>
    </cfRule>
  </conditionalFormatting>
  <conditionalFormatting sqref="P19:AN19">
    <cfRule type="expression" dxfId="51" priority="209">
      <formula>$AT$19&lt;&gt;""</formula>
    </cfRule>
  </conditionalFormatting>
  <conditionalFormatting sqref="P20:AN20">
    <cfRule type="expression" dxfId="50" priority="44">
      <formula>$AT$19&lt;&gt;""</formula>
    </cfRule>
  </conditionalFormatting>
  <conditionalFormatting sqref="R37:T52">
    <cfRule type="cellIs" dxfId="49" priority="10" operator="equal">
      <formula>0</formula>
    </cfRule>
  </conditionalFormatting>
  <conditionalFormatting sqref="V37:X52">
    <cfRule type="cellIs" dxfId="48" priority="9" operator="equal">
      <formula>0</formula>
    </cfRule>
  </conditionalFormatting>
  <conditionalFormatting sqref="X31">
    <cfRule type="expression" dxfId="47" priority="192">
      <formula>$Z$31=0</formula>
    </cfRule>
  </conditionalFormatting>
  <conditionalFormatting sqref="X32">
    <cfRule type="cellIs" dxfId="46" priority="57" operator="equal">
      <formula>0</formula>
    </cfRule>
  </conditionalFormatting>
  <conditionalFormatting sqref="Y22:AB22">
    <cfRule type="expression" dxfId="45" priority="235">
      <formula>$Z$22=0</formula>
    </cfRule>
  </conditionalFormatting>
  <conditionalFormatting sqref="Y31:AB31">
    <cfRule type="expression" dxfId="44" priority="190">
      <formula>$Z$31=0</formula>
    </cfRule>
  </conditionalFormatting>
  <conditionalFormatting sqref="Z37:AG52">
    <cfRule type="cellIs" dxfId="43" priority="14" operator="equal">
      <formula>0</formula>
    </cfRule>
  </conditionalFormatting>
  <conditionalFormatting sqref="AC22:AD22">
    <cfRule type="expression" dxfId="42" priority="236">
      <formula>$Z$22=0</formula>
    </cfRule>
  </conditionalFormatting>
  <conditionalFormatting sqref="AC31:AD31">
    <cfRule type="expression" dxfId="41" priority="191">
      <formula>$Z$31=0</formula>
    </cfRule>
  </conditionalFormatting>
  <conditionalFormatting sqref="AH37:AI52">
    <cfRule type="cellIs" dxfId="40" priority="50" operator="equal">
      <formula>0</formula>
    </cfRule>
  </conditionalFormatting>
  <conditionalFormatting sqref="AJ31">
    <cfRule type="expression" dxfId="39" priority="194">
      <formula>$AL$31=0</formula>
    </cfRule>
  </conditionalFormatting>
  <conditionalFormatting sqref="AK25:AN25">
    <cfRule type="expression" dxfId="38" priority="223">
      <formula>$AL$25=0</formula>
    </cfRule>
  </conditionalFormatting>
  <conditionalFormatting sqref="AK26:AN26">
    <cfRule type="expression" dxfId="37" priority="224">
      <formula>$AL$26=0</formula>
    </cfRule>
  </conditionalFormatting>
  <conditionalFormatting sqref="AK27:AN27">
    <cfRule type="expression" dxfId="36" priority="225">
      <formula>$AL$27=0</formula>
    </cfRule>
  </conditionalFormatting>
  <conditionalFormatting sqref="AK28:AN28">
    <cfRule type="expression" dxfId="35" priority="226">
      <formula>$AL$28=0</formula>
    </cfRule>
  </conditionalFormatting>
  <conditionalFormatting sqref="AK29:AN29">
    <cfRule type="expression" dxfId="34" priority="228">
      <formula>$AL$29=0</formula>
    </cfRule>
  </conditionalFormatting>
  <conditionalFormatting sqref="AK31:AN31">
    <cfRule type="expression" dxfId="33" priority="193">
      <formula>$AL$31=0</formula>
    </cfRule>
  </conditionalFormatting>
  <conditionalFormatting sqref="AO18:AP20">
    <cfRule type="cellIs" dxfId="32" priority="45" operator="equal">
      <formula>0</formula>
    </cfRule>
  </conditionalFormatting>
  <conditionalFormatting sqref="AO25:AP25">
    <cfRule type="expression" dxfId="31" priority="227">
      <formula>$AL$25=0</formula>
    </cfRule>
  </conditionalFormatting>
  <conditionalFormatting sqref="AO26:AP26">
    <cfRule type="expression" dxfId="30" priority="231">
      <formula>$AL$26=0</formula>
    </cfRule>
  </conditionalFormatting>
  <conditionalFormatting sqref="AO27:AP27">
    <cfRule type="expression" dxfId="29" priority="232">
      <formula>$AL$27=0</formula>
    </cfRule>
  </conditionalFormatting>
  <conditionalFormatting sqref="AO28:AP28">
    <cfRule type="expression" dxfId="28" priority="233">
      <formula>$AL$28=0</formula>
    </cfRule>
  </conditionalFormatting>
  <conditionalFormatting sqref="AO29:AP29">
    <cfRule type="expression" dxfId="27" priority="229">
      <formula>$AL$29=0</formula>
    </cfRule>
  </conditionalFormatting>
  <conditionalFormatting sqref="AO31:AP31">
    <cfRule type="expression" dxfId="26" priority="234">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8" sqref="AB8:AC8"/>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14" t="str">
        <f>IF(Roster!$K$25="Italiano","STATISTICHE",(IF(Roster!$K$25="Español","ESTADÍSTICAS",(IF(Roster!$K$25="Deutsch","STATISTIK",(IF(Roster!$K$25="Français","STATISITQUES","STATISTICS")))))))</f>
        <v>STATISTICS</v>
      </c>
      <c r="E1" s="415"/>
      <c r="F1" s="434" t="s">
        <v>1196</v>
      </c>
      <c r="G1" s="435"/>
      <c r="H1" s="438"/>
      <c r="I1" s="434" t="str">
        <f>IF(Roster!$K$25="Español","HER",(IF(Roster!$K$25="Deutsch","VER",(IF(Roster!$K$25="Français","BLES","CAS")))))</f>
        <v>CAS</v>
      </c>
      <c r="J1" s="435"/>
      <c r="K1" s="438"/>
      <c r="L1" s="434" t="str">
        <f>IF(Roster!$K$25="Español","HL",(IF(Roster!$K$25="Deutsch","SV",(IF(Roster!$K$25="Français","COM","BH")))))</f>
        <v>BH</v>
      </c>
      <c r="M1" s="435"/>
      <c r="N1" s="436"/>
      <c r="O1" s="437" t="str">
        <f>IF(Roster!$K$25="Español","HG",(IF(Roster!$K$25="Deutsch","BV",(IF(Roster!$K$25="Français","BS","SI")))))</f>
        <v>SI</v>
      </c>
      <c r="P1" s="435"/>
      <c r="Q1" s="436"/>
      <c r="R1" s="437" t="str">
        <f>IF(Roster!$K$25="Italiano","UCCISIONI",(IF(Roster!$K$25="Español","MUERTOS",(IF(Roster!$K$25="Deutsch","TOT",(IF(Roster!$K$25="Français","MORT","KILLS")))))))</f>
        <v>KILLS</v>
      </c>
      <c r="S1" s="435"/>
      <c r="T1" s="438"/>
      <c r="U1" s="434" t="str">
        <f>IF(Roster!$K$25="Italiano","ESPULSI",(IF(Roster!$K$25="Español","EXPULSADOS",(IF(Roster!$K$25="Deutsch","VOM PLATZ G.",(IF(Roster!$K$25="Français","EXPULSÉ","SENT OFF")))))))</f>
        <v>SENT OFF</v>
      </c>
      <c r="V1" s="435"/>
      <c r="W1" s="438"/>
      <c r="X1" s="259" t="str">
        <f>IF(Roster!$K$25="Italiano","TIFOSI S.",(IF(Roster!$K$25="Español","FANS D.",(IF(Roster!$K$25="Deutsch","T. FANS",(IF(Roster!$K$25="Français","FANS D.","D. FANS")))))))</f>
        <v>D. FANS</v>
      </c>
      <c r="Y1" s="259" t="str">
        <f>IF(Roster!$K$25="Italiano","CASSA S.",(IF(Roster!$K$25="Español","TESORERÍA G.",(IF(Roster!$K$25="Deutsch","AUSGEGEBENES B.",(IF(Roster!$K$25="Français","CASH SPENT","TREASURY S.")))))))</f>
        <v>TREASURY S.</v>
      </c>
      <c r="Z1" s="259" t="str">
        <f>IF(Roster!$K$25="Italiano","RICOMPENSE",(IF(Roster!$K$25="Español","GANANCIAS",(IF(Roster!$K$25="Deutsch","GEWINNE",(IF(Roster!$K$25="Français","GAINS","WINNINGS")))))))</f>
        <v>WINNINGS</v>
      </c>
      <c r="AA1" s="259" t="str">
        <f>IF(Roster!$K$25="Italiano","PUNTI",(IF(Roster!$K$25="Español","PUNTOS",(IF(Roster!$K$25="Deutsch","PUNKTE","POINTS")))))</f>
        <v>POINTS</v>
      </c>
      <c r="AB1" s="269" t="str">
        <f>IF(Roster!$K$25="Italiano","LEGA",(IF(Roster!$K$25="Español","LIGA",(IF(Roster!$K$25="Deutsch","LIGA",(IF(Roster!$K$25="Français","LIGUE","LEAGUE")))))))</f>
        <v>LEAGUE</v>
      </c>
      <c r="AC1" s="268"/>
      <c r="AD1" s="433"/>
    </row>
    <row r="2" spans="1:36" ht="12" customHeight="1" thickBot="1" x14ac:dyDescent="0.25">
      <c r="A2" s="73">
        <f>COUNTIF(AJ6:AJ55,"1")</f>
        <v>1</v>
      </c>
      <c r="B2" s="74">
        <f>COUNTIF(AJ6:AJ55,"2")</f>
        <v>1</v>
      </c>
      <c r="C2" s="75">
        <f>COUNTIF(AJ6:AJ55,"3")</f>
        <v>1</v>
      </c>
      <c r="D2" s="416"/>
      <c r="E2" s="417"/>
      <c r="F2" s="76">
        <f>SUM(F6:F55)</f>
        <v>4</v>
      </c>
      <c r="G2" s="77" t="s">
        <v>253</v>
      </c>
      <c r="H2" s="78">
        <f t="shared" ref="H2:I2" si="0">SUM(H6:H55)</f>
        <v>4</v>
      </c>
      <c r="I2" s="79">
        <f t="shared" si="0"/>
        <v>7</v>
      </c>
      <c r="J2" s="77" t="s">
        <v>253</v>
      </c>
      <c r="K2" s="79">
        <f t="shared" ref="K2:L2" si="1">SUM(K6:K55)</f>
        <v>3</v>
      </c>
      <c r="L2" s="76">
        <f t="shared" si="1"/>
        <v>3</v>
      </c>
      <c r="M2" s="77" t="s">
        <v>253</v>
      </c>
      <c r="N2" s="79">
        <f t="shared" ref="N2:O2" si="2">SUM(N6:N55)</f>
        <v>2</v>
      </c>
      <c r="O2" s="80">
        <f t="shared" si="2"/>
        <v>2</v>
      </c>
      <c r="P2" s="77" t="s">
        <v>253</v>
      </c>
      <c r="Q2" s="79">
        <f t="shared" ref="Q2:R2" si="3">SUM(Q6:Q55)</f>
        <v>1</v>
      </c>
      <c r="R2" s="80">
        <f t="shared" si="3"/>
        <v>2</v>
      </c>
      <c r="S2" s="77" t="s">
        <v>253</v>
      </c>
      <c r="T2" s="78">
        <f t="shared" ref="T2:U2" si="4">SUM(T6:T55)</f>
        <v>0</v>
      </c>
      <c r="U2" s="76">
        <f t="shared" si="4"/>
        <v>0</v>
      </c>
      <c r="V2" s="77" t="s">
        <v>253</v>
      </c>
      <c r="W2" s="78">
        <f t="shared" ref="W2:AA2" si="5">SUM(W6:W55)</f>
        <v>0</v>
      </c>
      <c r="X2" s="81">
        <f t="shared" si="5"/>
        <v>1</v>
      </c>
      <c r="Y2" s="82">
        <f t="shared" ref="Y2" si="6">SUM(Y6:Y55)</f>
        <v>0</v>
      </c>
      <c r="Z2" s="82">
        <f t="shared" si="5"/>
        <v>170000</v>
      </c>
      <c r="AA2" s="81">
        <f t="shared" si="5"/>
        <v>6</v>
      </c>
      <c r="AB2" s="269" t="str">
        <f>IF(Roster!$K$25="Italiano","TIFOSI S. LIBERO",(IF(Roster!$K$25="Español","FANS D. GRATIS",(IF(Roster!$K$25="Deutsch","KOSTENLOS T. FANS",(IF(Roster!$K$25="Français","GRATUIT FANS DÉVOUÉS","FREE D. FANS")))))))</f>
        <v>FREE D. FANS</v>
      </c>
      <c r="AC2" s="268">
        <v>0</v>
      </c>
      <c r="AD2" s="433"/>
      <c r="AF2" s="13">
        <v>1</v>
      </c>
      <c r="AI2" s="13"/>
    </row>
    <row r="3" spans="1:36" ht="11.25" customHeight="1" thickBot="1" x14ac:dyDescent="0.25">
      <c r="A3" s="83">
        <f t="shared" ref="A3:C3" si="7">IFERROR((A2/(COUNTA($F$6:$F$55))),0)</f>
        <v>0.33333333333333331</v>
      </c>
      <c r="B3" s="84">
        <f t="shared" si="7"/>
        <v>0.33333333333333331</v>
      </c>
      <c r="C3" s="85">
        <f t="shared" si="7"/>
        <v>0.33333333333333331</v>
      </c>
      <c r="D3" s="418"/>
      <c r="E3" s="419"/>
      <c r="F3" s="86">
        <f>IFERROR((F2/(COUNTA($F$6:$F$55))),0)</f>
        <v>1.3333333333333333</v>
      </c>
      <c r="G3" s="87" t="s">
        <v>253</v>
      </c>
      <c r="H3" s="88">
        <f>IFERROR((H2/(COUNTA($H$6:$H$55))),0)</f>
        <v>1.3333333333333333</v>
      </c>
      <c r="I3" s="89">
        <f>IFERROR((I2/(COUNTA($I$6:$I$55))),0)</f>
        <v>0.14000000000000001</v>
      </c>
      <c r="J3" s="87" t="s">
        <v>253</v>
      </c>
      <c r="K3" s="88">
        <f>IFERROR((K2/(COUNTA($K$6:$K$55))),0)</f>
        <v>0.06</v>
      </c>
      <c r="L3" s="89">
        <f>IFERROR((L2/(COUNTA($L$6:$L$55))),0)</f>
        <v>1</v>
      </c>
      <c r="M3" s="87" t="s">
        <v>253</v>
      </c>
      <c r="N3" s="90">
        <f>IFERROR((N2/(COUNTA($N$6:$N$55))),0)</f>
        <v>0.66666666666666663</v>
      </c>
      <c r="O3" s="89">
        <f>IFERROR((O2/(COUNTA($O$6:$O$55))),0)</f>
        <v>0.66666666666666663</v>
      </c>
      <c r="P3" s="87" t="s">
        <v>253</v>
      </c>
      <c r="Q3" s="90">
        <f>IFERROR((Q2/(COUNTA($Q$6:$Q$55))),0)</f>
        <v>0.33333333333333331</v>
      </c>
      <c r="R3" s="89">
        <f>IFERROR((R2/(COUNTA($R$6:$R$55))),0)</f>
        <v>0.66666666666666663</v>
      </c>
      <c r="S3" s="87" t="s">
        <v>253</v>
      </c>
      <c r="T3" s="88">
        <f>IFERROR((T2/(COUNTA($T$6:$T$55))),0)</f>
        <v>0</v>
      </c>
      <c r="U3" s="89">
        <f>IFERROR((U2/(COUNTA($U$6:$U$55))),0)</f>
        <v>0</v>
      </c>
      <c r="V3" s="87" t="s">
        <v>253</v>
      </c>
      <c r="W3" s="88">
        <f>IFERROR((W2/(COUNTA($W$6:$W$55))),0)</f>
        <v>0</v>
      </c>
      <c r="X3" s="91">
        <f>IFERROR((X2/(COUNTA($X$6:$X$55))),0)</f>
        <v>1</v>
      </c>
      <c r="Y3" s="92">
        <f>IFERROR((Y2/(COUNTA($Y$6:$Y$55))),0)</f>
        <v>0</v>
      </c>
      <c r="Z3" s="92">
        <f>IFERROR((Z2/(COUNTA($Z$6:$Z$55))),0)</f>
        <v>56666.666666666664</v>
      </c>
      <c r="AA3" s="93">
        <f>IFERROR((AA2/(COUNTA($AA$6:$AA$55))),0)</f>
        <v>3</v>
      </c>
      <c r="AB3" s="269" t="str">
        <f>IF(Roster!$K$25="Italiano","TESORERIA INIZIALI",(IF(Roster!$K$25="Español","TESORERÍA INICIAL",(IF(Roster!$K$25="Deutsch","ANFÄNGLICHER TEAMKASSE",(IF(Roster!$K$25="Français","INITIAL TRÉSORERIE","STARTINT TREASURY")))))))</f>
        <v>STARTINT TREASURY</v>
      </c>
      <c r="AC3" s="268">
        <v>1000000</v>
      </c>
      <c r="AD3" s="433"/>
    </row>
    <row r="4" spans="1:36" ht="7.5" customHeight="1" thickBot="1" x14ac:dyDescent="0.25">
      <c r="A4" s="439"/>
      <c r="B4" s="431"/>
      <c r="C4" s="431"/>
      <c r="D4" s="431"/>
      <c r="E4" s="431"/>
      <c r="F4" s="431"/>
      <c r="G4" s="431"/>
      <c r="H4" s="431"/>
      <c r="I4" s="431"/>
      <c r="J4" s="431"/>
      <c r="K4" s="431"/>
      <c r="L4" s="431"/>
      <c r="M4" s="431"/>
      <c r="N4" s="431"/>
      <c r="O4" s="431"/>
      <c r="P4" s="431"/>
      <c r="Q4" s="431"/>
      <c r="R4" s="431"/>
      <c r="S4" s="431"/>
      <c r="T4" s="431"/>
      <c r="U4" s="431"/>
      <c r="V4" s="431"/>
      <c r="W4" s="431"/>
      <c r="X4" s="431"/>
      <c r="Y4" s="440"/>
      <c r="Z4" s="431"/>
      <c r="AA4" s="431"/>
      <c r="AB4" s="431"/>
      <c r="AC4" s="440"/>
      <c r="AD4" s="433"/>
    </row>
    <row r="5" spans="1:36" ht="21" customHeight="1" x14ac:dyDescent="0.2">
      <c r="A5" s="444">
        <v>0</v>
      </c>
      <c r="B5" s="445"/>
      <c r="C5" s="446"/>
      <c r="D5" s="256" t="str">
        <f>IF(Roster!$K$25="Italiano","AVVERSARIO",(IF(Roster!$K$25="Español","OPONENTE",(IF(Roster!$K$25="Deutsch","GEGNER",(IF(Roster!$K$25="Français","ADVERSAIRE","OPPONENT")))))))</f>
        <v>OPPONENT</v>
      </c>
      <c r="E5" s="257" t="str">
        <f>IF(Roster!$K$25="Italiano","RAZZA",(IF(Roster!$K$25="Español","RAZA",(IF(Roster!$K$25="Deutsch","RASSE",(IF(Roster!$K$25="Français","TYPE D'ÉQUIPE","RACE")))))))</f>
        <v>RACE</v>
      </c>
      <c r="F5" s="420" t="s">
        <v>1196</v>
      </c>
      <c r="G5" s="421"/>
      <c r="H5" s="422"/>
      <c r="I5" s="420" t="str">
        <f>IF(Roster!$K$25="Español","HER",(IF(Roster!$K$25="Deutsch","VER",(IF(Roster!$K$25="Français","BLES","CAS")))))</f>
        <v>CAS</v>
      </c>
      <c r="J5" s="421"/>
      <c r="K5" s="422"/>
      <c r="L5" s="434" t="str">
        <f>IF(Roster!$K$25="Español","HL",(IF(Roster!$K$25="Deutsch","SV",(IF(Roster!$K$25="Français","COM","BH")))))</f>
        <v>BH</v>
      </c>
      <c r="M5" s="421"/>
      <c r="N5" s="442"/>
      <c r="O5" s="437" t="str">
        <f>IF(Roster!$K$25="Español","HG",(IF(Roster!$K$25="Deutsch","BV",(IF(Roster!$K$25="Français","BS","SI")))))</f>
        <v>SI</v>
      </c>
      <c r="P5" s="421"/>
      <c r="Q5" s="442"/>
      <c r="R5" s="437" t="str">
        <f>IF(Roster!$K$25="Italiano","UCCISIONI",(IF(Roster!$K$25="Español","MUERTOS",(IF(Roster!$K$25="Deutsch","TOT",(IF(Roster!$K$25="Français","MORT","KILLS")))))))</f>
        <v>KILLS</v>
      </c>
      <c r="S5" s="421"/>
      <c r="T5" s="422"/>
      <c r="U5" s="443" t="str">
        <f>IF(Roster!$K$25="Italiano","ESPULSI",(IF(Roster!$K$25="Español","EXPULSADOS",(IF(Roster!$K$25="Deutsch","VOM PLATZ G.",(IF(Roster!$K$25="Français","EXPULSÉ","SENT OFF")))))))</f>
        <v>SENT OFF</v>
      </c>
      <c r="V5" s="421"/>
      <c r="W5" s="422"/>
      <c r="X5" s="258" t="str">
        <f>IF(Roster!$K$25="Italiano","TIFOSI S.",(IF(Roster!$K$25="Español","FANS D.",(IF(Roster!$K$25="Deutsch","T. FANS",(IF(Roster!$K$25="Français","FANS D.","D. FANS")))))))</f>
        <v>D. FANS</v>
      </c>
      <c r="Y5" s="258" t="str">
        <f>IF(Roster!$K$25="Italiano","CASSA SPESA",(IF(Roster!$K$25="Español","TESORERÍA GASTADA",(IF(Roster!$K$25="Deutsch","AUSGEGEBENES BARGELD",(IF(Roster!$K$25="Français","CASH SPENT","TREASURY SPEND")))))))</f>
        <v>TREASURY SPEND</v>
      </c>
      <c r="Z5" s="258" t="str">
        <f>IF(Roster!$K$25="Italiano","RICOMPENSE",(IF(Roster!$K$25="Español","GANANCIAS",(IF(Roster!$K$25="Deutsch","GEWINNE",(IF(Roster!$K$25="Français","GAINS","WINNINGS")))))))</f>
        <v>WINNINGS</v>
      </c>
      <c r="AA5" s="258" t="str">
        <f>IF(Roster!$K$25="Italiano","PUNTI",(IF(Roster!$K$25="Español","PUNTOS",(IF(Roster!$K$25="Deutsch","PUNKTE","POINTS")))))</f>
        <v>POINTS</v>
      </c>
      <c r="AB5" s="441" t="str">
        <f>IF(Roster!$K$25="Italiano","NOTE",(IF(Roster!$K$25="Español","NOTAS",(IF(Roster!$K$25="Deutsch","NOTIZEN","NOTES")))))</f>
        <v>NOTES</v>
      </c>
      <c r="AC5" s="422"/>
      <c r="AD5" s="433"/>
      <c r="AE5" s="94"/>
      <c r="AF5" s="95" t="s">
        <v>254</v>
      </c>
      <c r="AG5" s="95" t="s">
        <v>255</v>
      </c>
      <c r="AH5" s="95" t="s">
        <v>256</v>
      </c>
      <c r="AI5" s="94"/>
      <c r="AJ5" s="94"/>
    </row>
    <row r="6" spans="1:36" ht="21" customHeight="1" x14ac:dyDescent="0.2">
      <c r="A6" s="96">
        <v>1</v>
      </c>
      <c r="B6" s="423" t="str">
        <f>IF(F6&lt;&gt;"",(IF(F6&gt;H6,$A$1,(IF(F6=H6,$B$1,(IF(F6&lt;H6,$C$1,"")))))),"")</f>
        <v>lost</v>
      </c>
      <c r="C6" s="424"/>
      <c r="D6" s="138" t="s">
        <v>1844</v>
      </c>
      <c r="E6" s="139" t="s">
        <v>175</v>
      </c>
      <c r="F6" s="130">
        <v>1</v>
      </c>
      <c r="G6" s="97" t="s">
        <v>253</v>
      </c>
      <c r="H6" s="123">
        <v>2</v>
      </c>
      <c r="I6" s="98">
        <f t="shared" ref="I6:I55" si="8">L6+O6+R6</f>
        <v>0</v>
      </c>
      <c r="J6" s="99" t="s">
        <v>253</v>
      </c>
      <c r="K6" s="100">
        <f t="shared" ref="K6:K55" si="9">N6+Q6+T6</f>
        <v>1</v>
      </c>
      <c r="L6" s="130">
        <v>0</v>
      </c>
      <c r="M6" s="97" t="s">
        <v>253</v>
      </c>
      <c r="N6" s="129">
        <v>1</v>
      </c>
      <c r="O6" s="135">
        <v>0</v>
      </c>
      <c r="P6" s="97" t="s">
        <v>253</v>
      </c>
      <c r="Q6" s="129">
        <v>0</v>
      </c>
      <c r="R6" s="135">
        <v>0</v>
      </c>
      <c r="S6" s="97" t="s">
        <v>253</v>
      </c>
      <c r="T6" s="129">
        <v>0</v>
      </c>
      <c r="U6" s="130">
        <v>0</v>
      </c>
      <c r="V6" s="97" t="s">
        <v>253</v>
      </c>
      <c r="W6" s="123">
        <v>0</v>
      </c>
      <c r="X6" s="123"/>
      <c r="Y6" s="124">
        <v>0</v>
      </c>
      <c r="Z6" s="124">
        <v>45000</v>
      </c>
      <c r="AA6" s="123"/>
      <c r="AB6" s="412" t="s">
        <v>1845</v>
      </c>
      <c r="AC6" s="413"/>
      <c r="AD6" s="433"/>
      <c r="AF6" s="41" t="b">
        <v>0</v>
      </c>
      <c r="AG6" s="41" t="b">
        <v>0</v>
      </c>
      <c r="AH6" s="41" t="b">
        <v>0</v>
      </c>
      <c r="AJ6">
        <f t="shared" ref="AJ6:AJ55" si="10">IF(F6&lt;&gt;"",(IF(F6&gt;H6,1,(IF(F6=H6,2,(IF(F6&lt;H6,3,"")))))),"")</f>
        <v>3</v>
      </c>
    </row>
    <row r="7" spans="1:36" ht="21" customHeight="1" x14ac:dyDescent="0.2">
      <c r="A7" s="101">
        <v>2</v>
      </c>
      <c r="B7" s="423" t="str">
        <f t="shared" ref="B7:B55" si="11">IF(F7&lt;&gt;"",(IF(F7&gt;H7,$A$1,(IF(F7=H7,$B$1,(IF(F7&lt;H7,$C$1,"")))))),"")</f>
        <v>tied</v>
      </c>
      <c r="C7" s="424"/>
      <c r="D7" s="140" t="s">
        <v>1846</v>
      </c>
      <c r="E7" s="139" t="s">
        <v>1375</v>
      </c>
      <c r="F7" s="132">
        <v>1</v>
      </c>
      <c r="G7" s="102" t="s">
        <v>253</v>
      </c>
      <c r="H7" s="125">
        <v>1</v>
      </c>
      <c r="I7" s="98">
        <f t="shared" si="8"/>
        <v>4</v>
      </c>
      <c r="J7" s="103" t="s">
        <v>253</v>
      </c>
      <c r="K7" s="100">
        <f t="shared" si="9"/>
        <v>1</v>
      </c>
      <c r="L7" s="132">
        <v>2</v>
      </c>
      <c r="M7" s="102" t="s">
        <v>253</v>
      </c>
      <c r="N7" s="131">
        <v>0</v>
      </c>
      <c r="O7" s="136">
        <v>2</v>
      </c>
      <c r="P7" s="102" t="s">
        <v>253</v>
      </c>
      <c r="Q7" s="131">
        <v>1</v>
      </c>
      <c r="R7" s="136">
        <v>0</v>
      </c>
      <c r="S7" s="102" t="s">
        <v>253</v>
      </c>
      <c r="T7" s="131">
        <v>0</v>
      </c>
      <c r="U7" s="132">
        <v>0</v>
      </c>
      <c r="V7" s="102" t="s">
        <v>253</v>
      </c>
      <c r="W7" s="125">
        <v>0</v>
      </c>
      <c r="X7" s="123"/>
      <c r="Y7" s="126">
        <v>0</v>
      </c>
      <c r="Z7" s="126">
        <v>70000</v>
      </c>
      <c r="AA7" s="125">
        <v>2</v>
      </c>
      <c r="AB7" s="412"/>
      <c r="AC7" s="413"/>
      <c r="AD7" s="433"/>
      <c r="AF7" s="41" t="b">
        <v>0</v>
      </c>
      <c r="AG7" s="41" t="b">
        <v>0</v>
      </c>
      <c r="AH7" s="41" t="b">
        <v>0</v>
      </c>
      <c r="AJ7">
        <f t="shared" si="10"/>
        <v>2</v>
      </c>
    </row>
    <row r="8" spans="1:36" ht="21" customHeight="1" x14ac:dyDescent="0.2">
      <c r="A8" s="96">
        <v>3</v>
      </c>
      <c r="B8" s="423" t="str">
        <f t="shared" si="11"/>
        <v>won</v>
      </c>
      <c r="C8" s="424"/>
      <c r="D8" s="138" t="s">
        <v>1849</v>
      </c>
      <c r="E8" s="139" t="s">
        <v>1429</v>
      </c>
      <c r="F8" s="130">
        <v>2</v>
      </c>
      <c r="G8" s="97" t="s">
        <v>253</v>
      </c>
      <c r="H8" s="123">
        <v>1</v>
      </c>
      <c r="I8" s="98">
        <f t="shared" si="8"/>
        <v>3</v>
      </c>
      <c r="J8" s="99" t="s">
        <v>253</v>
      </c>
      <c r="K8" s="100">
        <f t="shared" si="9"/>
        <v>1</v>
      </c>
      <c r="L8" s="130">
        <v>1</v>
      </c>
      <c r="M8" s="97" t="s">
        <v>253</v>
      </c>
      <c r="N8" s="129">
        <v>1</v>
      </c>
      <c r="O8" s="135">
        <v>0</v>
      </c>
      <c r="P8" s="97" t="s">
        <v>253</v>
      </c>
      <c r="Q8" s="129">
        <v>0</v>
      </c>
      <c r="R8" s="135">
        <v>2</v>
      </c>
      <c r="S8" s="97" t="s">
        <v>253</v>
      </c>
      <c r="T8" s="129">
        <v>0</v>
      </c>
      <c r="U8" s="130">
        <v>0</v>
      </c>
      <c r="V8" s="97" t="s">
        <v>253</v>
      </c>
      <c r="W8" s="123">
        <v>0</v>
      </c>
      <c r="X8" s="123">
        <v>1</v>
      </c>
      <c r="Y8" s="124">
        <v>0</v>
      </c>
      <c r="Z8" s="124">
        <v>55000</v>
      </c>
      <c r="AA8" s="123">
        <v>4</v>
      </c>
      <c r="AB8" s="412"/>
      <c r="AC8" s="413"/>
      <c r="AD8" s="433"/>
      <c r="AF8" s="41" t="b">
        <v>0</v>
      </c>
      <c r="AG8" s="41" t="b">
        <v>0</v>
      </c>
      <c r="AH8" s="41" t="b">
        <v>0</v>
      </c>
      <c r="AJ8">
        <f t="shared" si="10"/>
        <v>1</v>
      </c>
    </row>
    <row r="9" spans="1:36" ht="21" customHeight="1" x14ac:dyDescent="0.2">
      <c r="A9" s="96">
        <v>4</v>
      </c>
      <c r="B9" s="423" t="str">
        <f t="shared" si="11"/>
        <v/>
      </c>
      <c r="C9" s="424"/>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2"/>
      <c r="AC9" s="413"/>
      <c r="AD9" s="433"/>
      <c r="AF9" s="41" t="b">
        <v>0</v>
      </c>
      <c r="AG9" s="41" t="b">
        <v>0</v>
      </c>
      <c r="AH9" s="41" t="b">
        <v>0</v>
      </c>
      <c r="AJ9" t="str">
        <f t="shared" si="10"/>
        <v/>
      </c>
    </row>
    <row r="10" spans="1:36" ht="21" customHeight="1" x14ac:dyDescent="0.2">
      <c r="A10" s="101">
        <v>5</v>
      </c>
      <c r="B10" s="423" t="str">
        <f t="shared" si="11"/>
        <v/>
      </c>
      <c r="C10" s="424"/>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2"/>
      <c r="AC10" s="413"/>
      <c r="AD10" s="433"/>
      <c r="AF10" s="41" t="b">
        <v>0</v>
      </c>
      <c r="AG10" s="41" t="b">
        <v>0</v>
      </c>
      <c r="AH10" s="41" t="b">
        <v>0</v>
      </c>
      <c r="AJ10" t="str">
        <f t="shared" si="10"/>
        <v/>
      </c>
    </row>
    <row r="11" spans="1:36" ht="21" customHeight="1" x14ac:dyDescent="0.2">
      <c r="A11" s="96">
        <v>6</v>
      </c>
      <c r="B11" s="423" t="str">
        <f t="shared" si="11"/>
        <v/>
      </c>
      <c r="C11" s="424"/>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2"/>
      <c r="AC11" s="413"/>
      <c r="AD11" s="433"/>
      <c r="AF11" s="41" t="b">
        <v>0</v>
      </c>
      <c r="AG11" s="41" t="b">
        <v>0</v>
      </c>
      <c r="AH11" s="41" t="b">
        <v>0</v>
      </c>
      <c r="AJ11" t="str">
        <f t="shared" si="10"/>
        <v/>
      </c>
    </row>
    <row r="12" spans="1:36" ht="21" customHeight="1" x14ac:dyDescent="0.2">
      <c r="A12" s="96">
        <v>7</v>
      </c>
      <c r="B12" s="423" t="str">
        <f t="shared" si="11"/>
        <v/>
      </c>
      <c r="C12" s="424"/>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2"/>
      <c r="AC12" s="413"/>
      <c r="AD12" s="433"/>
      <c r="AF12" s="41" t="b">
        <v>0</v>
      </c>
      <c r="AG12" s="41" t="b">
        <v>0</v>
      </c>
      <c r="AH12" s="41" t="b">
        <v>0</v>
      </c>
      <c r="AJ12" t="str">
        <f t="shared" si="10"/>
        <v/>
      </c>
    </row>
    <row r="13" spans="1:36" ht="21" customHeight="1" x14ac:dyDescent="0.2">
      <c r="A13" s="101">
        <v>8</v>
      </c>
      <c r="B13" s="423" t="str">
        <f t="shared" si="11"/>
        <v/>
      </c>
      <c r="C13" s="424"/>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2"/>
      <c r="AC13" s="413"/>
      <c r="AD13" s="433"/>
      <c r="AF13" s="41" t="b">
        <v>0</v>
      </c>
      <c r="AG13" s="41" t="b">
        <v>0</v>
      </c>
      <c r="AH13" s="41" t="b">
        <v>0</v>
      </c>
      <c r="AJ13" t="str">
        <f t="shared" si="10"/>
        <v/>
      </c>
    </row>
    <row r="14" spans="1:36" ht="21" customHeight="1" x14ac:dyDescent="0.2">
      <c r="A14" s="96">
        <v>9</v>
      </c>
      <c r="B14" s="423" t="str">
        <f t="shared" si="11"/>
        <v/>
      </c>
      <c r="C14" s="424"/>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2"/>
      <c r="AC14" s="413"/>
      <c r="AD14" s="433"/>
      <c r="AF14" s="41" t="b">
        <v>0</v>
      </c>
      <c r="AG14" s="41" t="b">
        <v>0</v>
      </c>
      <c r="AH14" s="41" t="b">
        <v>0</v>
      </c>
      <c r="AJ14" t="str">
        <f t="shared" si="10"/>
        <v/>
      </c>
    </row>
    <row r="15" spans="1:36" ht="21" customHeight="1" x14ac:dyDescent="0.2">
      <c r="A15" s="96">
        <v>10</v>
      </c>
      <c r="B15" s="423" t="str">
        <f t="shared" si="11"/>
        <v/>
      </c>
      <c r="C15" s="424"/>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2"/>
      <c r="AC15" s="413"/>
      <c r="AD15" s="433"/>
      <c r="AF15" s="41" t="b">
        <v>0</v>
      </c>
      <c r="AG15" s="41" t="b">
        <v>0</v>
      </c>
      <c r="AH15" s="41" t="b">
        <v>0</v>
      </c>
      <c r="AJ15" t="str">
        <f t="shared" si="10"/>
        <v/>
      </c>
    </row>
    <row r="16" spans="1:36" ht="21" customHeight="1" x14ac:dyDescent="0.2">
      <c r="A16" s="101">
        <v>11</v>
      </c>
      <c r="B16" s="423" t="str">
        <f t="shared" si="11"/>
        <v/>
      </c>
      <c r="C16" s="424"/>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2"/>
      <c r="AC16" s="413"/>
      <c r="AD16" s="433"/>
      <c r="AF16" s="41" t="b">
        <v>0</v>
      </c>
      <c r="AG16" s="41" t="b">
        <v>0</v>
      </c>
      <c r="AH16" s="41" t="b">
        <v>0</v>
      </c>
      <c r="AJ16" t="str">
        <f t="shared" si="10"/>
        <v/>
      </c>
    </row>
    <row r="17" spans="1:36" ht="21" customHeight="1" x14ac:dyDescent="0.2">
      <c r="A17" s="96">
        <v>12</v>
      </c>
      <c r="B17" s="423" t="str">
        <f t="shared" si="11"/>
        <v/>
      </c>
      <c r="C17" s="424"/>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2"/>
      <c r="AC17" s="413"/>
      <c r="AD17" s="433"/>
      <c r="AF17" s="41" t="b">
        <v>0</v>
      </c>
      <c r="AG17" s="41" t="b">
        <v>0</v>
      </c>
      <c r="AH17" s="41" t="b">
        <v>0</v>
      </c>
      <c r="AJ17" t="str">
        <f t="shared" si="10"/>
        <v/>
      </c>
    </row>
    <row r="18" spans="1:36" ht="21" customHeight="1" x14ac:dyDescent="0.2">
      <c r="A18" s="96">
        <v>13</v>
      </c>
      <c r="B18" s="423" t="str">
        <f t="shared" si="11"/>
        <v/>
      </c>
      <c r="C18" s="424"/>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2"/>
      <c r="AC18" s="413"/>
      <c r="AD18" s="433"/>
      <c r="AF18" s="41" t="b">
        <v>0</v>
      </c>
      <c r="AG18" s="41" t="b">
        <v>0</v>
      </c>
      <c r="AH18" s="41" t="b">
        <v>0</v>
      </c>
      <c r="AJ18" t="str">
        <f t="shared" si="10"/>
        <v/>
      </c>
    </row>
    <row r="19" spans="1:36" ht="21" customHeight="1" x14ac:dyDescent="0.2">
      <c r="A19" s="101">
        <v>14</v>
      </c>
      <c r="B19" s="423" t="str">
        <f t="shared" si="11"/>
        <v/>
      </c>
      <c r="C19" s="424"/>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2"/>
      <c r="AC19" s="413"/>
      <c r="AD19" s="433"/>
      <c r="AF19" s="41" t="b">
        <v>0</v>
      </c>
      <c r="AG19" s="41" t="b">
        <v>0</v>
      </c>
      <c r="AH19" s="41" t="b">
        <v>0</v>
      </c>
      <c r="AJ19" t="str">
        <f t="shared" si="10"/>
        <v/>
      </c>
    </row>
    <row r="20" spans="1:36" ht="21" customHeight="1" x14ac:dyDescent="0.2">
      <c r="A20" s="96">
        <v>15</v>
      </c>
      <c r="B20" s="423" t="str">
        <f t="shared" si="11"/>
        <v/>
      </c>
      <c r="C20" s="424"/>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2"/>
      <c r="AC20" s="413"/>
      <c r="AD20" s="433"/>
      <c r="AF20" s="41" t="b">
        <v>0</v>
      </c>
      <c r="AG20" s="41" t="b">
        <v>0</v>
      </c>
      <c r="AH20" s="41" t="b">
        <v>0</v>
      </c>
      <c r="AJ20" t="str">
        <f t="shared" si="10"/>
        <v/>
      </c>
    </row>
    <row r="21" spans="1:36" ht="21" customHeight="1" x14ac:dyDescent="0.2">
      <c r="A21" s="96">
        <v>16</v>
      </c>
      <c r="B21" s="423" t="str">
        <f t="shared" si="11"/>
        <v/>
      </c>
      <c r="C21" s="424"/>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2"/>
      <c r="AC21" s="413"/>
      <c r="AD21" s="433"/>
      <c r="AF21" s="41" t="b">
        <v>0</v>
      </c>
      <c r="AG21" s="41" t="b">
        <v>0</v>
      </c>
      <c r="AH21" s="41" t="b">
        <v>0</v>
      </c>
      <c r="AJ21" t="str">
        <f t="shared" si="10"/>
        <v/>
      </c>
    </row>
    <row r="22" spans="1:36" ht="21" customHeight="1" x14ac:dyDescent="0.2">
      <c r="A22" s="101">
        <v>17</v>
      </c>
      <c r="B22" s="423" t="str">
        <f t="shared" si="11"/>
        <v/>
      </c>
      <c r="C22" s="424"/>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2"/>
      <c r="AC22" s="413"/>
      <c r="AD22" s="433"/>
      <c r="AF22" s="41" t="b">
        <v>0</v>
      </c>
      <c r="AG22" s="41" t="b">
        <v>0</v>
      </c>
      <c r="AH22" s="41" t="b">
        <v>0</v>
      </c>
      <c r="AJ22" t="str">
        <f t="shared" si="10"/>
        <v/>
      </c>
    </row>
    <row r="23" spans="1:36" ht="21" customHeight="1" x14ac:dyDescent="0.2">
      <c r="A23" s="96">
        <v>18</v>
      </c>
      <c r="B23" s="423" t="str">
        <f t="shared" si="11"/>
        <v/>
      </c>
      <c r="C23" s="424"/>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2"/>
      <c r="AC23" s="413"/>
      <c r="AD23" s="433"/>
      <c r="AF23" s="41" t="b">
        <v>0</v>
      </c>
      <c r="AG23" s="41" t="b">
        <v>0</v>
      </c>
      <c r="AH23" s="41" t="b">
        <v>0</v>
      </c>
      <c r="AJ23" t="str">
        <f t="shared" si="10"/>
        <v/>
      </c>
    </row>
    <row r="24" spans="1:36" ht="21" customHeight="1" x14ac:dyDescent="0.2">
      <c r="A24" s="96">
        <v>19</v>
      </c>
      <c r="B24" s="423" t="str">
        <f t="shared" si="11"/>
        <v/>
      </c>
      <c r="C24" s="424"/>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2"/>
      <c r="AC24" s="413"/>
      <c r="AD24" s="433"/>
      <c r="AF24" s="41" t="b">
        <v>0</v>
      </c>
      <c r="AG24" s="41" t="b">
        <v>0</v>
      </c>
      <c r="AH24" s="41" t="b">
        <v>0</v>
      </c>
      <c r="AJ24" t="str">
        <f t="shared" si="10"/>
        <v/>
      </c>
    </row>
    <row r="25" spans="1:36" ht="21" customHeight="1" x14ac:dyDescent="0.2">
      <c r="A25" s="101">
        <v>20</v>
      </c>
      <c r="B25" s="423" t="str">
        <f t="shared" si="11"/>
        <v/>
      </c>
      <c r="C25" s="424"/>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2"/>
      <c r="AC25" s="413"/>
      <c r="AD25" s="433"/>
      <c r="AF25" s="41" t="b">
        <v>0</v>
      </c>
      <c r="AG25" s="41" t="b">
        <v>0</v>
      </c>
      <c r="AH25" s="41" t="b">
        <v>0</v>
      </c>
      <c r="AJ25" t="str">
        <f t="shared" si="10"/>
        <v/>
      </c>
    </row>
    <row r="26" spans="1:36" ht="21" customHeight="1" x14ac:dyDescent="0.2">
      <c r="A26" s="96">
        <v>21</v>
      </c>
      <c r="B26" s="423" t="str">
        <f t="shared" si="11"/>
        <v/>
      </c>
      <c r="C26" s="424"/>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2"/>
      <c r="AC26" s="413"/>
      <c r="AD26" s="433"/>
      <c r="AF26" s="41" t="b">
        <v>0</v>
      </c>
      <c r="AG26" s="41" t="b">
        <v>0</v>
      </c>
      <c r="AH26" s="41" t="b">
        <v>0</v>
      </c>
      <c r="AJ26" t="str">
        <f t="shared" si="10"/>
        <v/>
      </c>
    </row>
    <row r="27" spans="1:36" ht="21" customHeight="1" x14ac:dyDescent="0.2">
      <c r="A27" s="96">
        <v>22</v>
      </c>
      <c r="B27" s="423" t="str">
        <f t="shared" si="11"/>
        <v/>
      </c>
      <c r="C27" s="424"/>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2"/>
      <c r="AC27" s="413"/>
      <c r="AD27" s="433"/>
      <c r="AF27" s="41" t="b">
        <v>0</v>
      </c>
      <c r="AG27" s="41" t="b">
        <v>0</v>
      </c>
      <c r="AH27" s="41" t="b">
        <v>0</v>
      </c>
      <c r="AJ27" t="str">
        <f t="shared" si="10"/>
        <v/>
      </c>
    </row>
    <row r="28" spans="1:36" ht="21" customHeight="1" x14ac:dyDescent="0.2">
      <c r="A28" s="101">
        <v>23</v>
      </c>
      <c r="B28" s="423" t="str">
        <f t="shared" si="11"/>
        <v/>
      </c>
      <c r="C28" s="424"/>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2"/>
      <c r="AC28" s="413"/>
      <c r="AD28" s="433"/>
      <c r="AF28" s="41" t="b">
        <v>0</v>
      </c>
      <c r="AG28" s="41" t="b">
        <v>0</v>
      </c>
      <c r="AH28" s="41" t="b">
        <v>0</v>
      </c>
      <c r="AJ28" t="str">
        <f t="shared" si="10"/>
        <v/>
      </c>
    </row>
    <row r="29" spans="1:36" ht="21" customHeight="1" x14ac:dyDescent="0.2">
      <c r="A29" s="96">
        <v>24</v>
      </c>
      <c r="B29" s="423" t="str">
        <f t="shared" si="11"/>
        <v/>
      </c>
      <c r="C29" s="424"/>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2"/>
      <c r="AC29" s="413"/>
      <c r="AD29" s="433"/>
      <c r="AF29" s="41" t="b">
        <v>0</v>
      </c>
      <c r="AG29" s="41" t="b">
        <v>0</v>
      </c>
      <c r="AH29" s="41" t="b">
        <v>0</v>
      </c>
      <c r="AJ29" t="str">
        <f t="shared" si="10"/>
        <v/>
      </c>
    </row>
    <row r="30" spans="1:36" ht="21" customHeight="1" x14ac:dyDescent="0.2">
      <c r="A30" s="96">
        <v>25</v>
      </c>
      <c r="B30" s="423" t="str">
        <f t="shared" si="11"/>
        <v/>
      </c>
      <c r="C30" s="424"/>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2"/>
      <c r="AC30" s="413"/>
      <c r="AD30" s="433"/>
      <c r="AF30" s="41" t="b">
        <v>0</v>
      </c>
      <c r="AG30" s="41" t="b">
        <v>0</v>
      </c>
      <c r="AH30" s="41" t="b">
        <v>0</v>
      </c>
      <c r="AJ30" t="str">
        <f t="shared" si="10"/>
        <v/>
      </c>
    </row>
    <row r="31" spans="1:36" ht="21" customHeight="1" x14ac:dyDescent="0.2">
      <c r="A31" s="101">
        <v>26</v>
      </c>
      <c r="B31" s="423" t="str">
        <f t="shared" si="11"/>
        <v/>
      </c>
      <c r="C31" s="424"/>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2"/>
      <c r="AC31" s="413"/>
      <c r="AD31" s="433"/>
      <c r="AF31" s="41" t="b">
        <v>0</v>
      </c>
      <c r="AG31" s="41" t="b">
        <v>0</v>
      </c>
      <c r="AH31" s="41" t="b">
        <v>0</v>
      </c>
      <c r="AJ31" t="str">
        <f t="shared" si="10"/>
        <v/>
      </c>
    </row>
    <row r="32" spans="1:36" ht="21" customHeight="1" x14ac:dyDescent="0.2">
      <c r="A32" s="96">
        <v>27</v>
      </c>
      <c r="B32" s="423" t="str">
        <f t="shared" si="11"/>
        <v/>
      </c>
      <c r="C32" s="424"/>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2"/>
      <c r="AC32" s="413"/>
      <c r="AD32" s="433"/>
      <c r="AF32" s="41" t="b">
        <v>0</v>
      </c>
      <c r="AG32" s="41" t="b">
        <v>0</v>
      </c>
      <c r="AH32" s="41" t="b">
        <v>0</v>
      </c>
      <c r="AJ32" t="str">
        <f t="shared" si="10"/>
        <v/>
      </c>
    </row>
    <row r="33" spans="1:36" ht="21" customHeight="1" x14ac:dyDescent="0.2">
      <c r="A33" s="96">
        <v>28</v>
      </c>
      <c r="B33" s="423" t="str">
        <f t="shared" si="11"/>
        <v/>
      </c>
      <c r="C33" s="424"/>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2"/>
      <c r="AC33" s="413"/>
      <c r="AD33" s="433"/>
      <c r="AF33" s="41" t="b">
        <v>0</v>
      </c>
      <c r="AG33" s="41" t="b">
        <v>0</v>
      </c>
      <c r="AH33" s="41" t="b">
        <v>0</v>
      </c>
      <c r="AJ33" t="str">
        <f t="shared" si="10"/>
        <v/>
      </c>
    </row>
    <row r="34" spans="1:36" ht="21" customHeight="1" x14ac:dyDescent="0.2">
      <c r="A34" s="101">
        <v>29</v>
      </c>
      <c r="B34" s="423" t="str">
        <f t="shared" si="11"/>
        <v/>
      </c>
      <c r="C34" s="424"/>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2"/>
      <c r="AC34" s="413"/>
      <c r="AD34" s="433"/>
      <c r="AF34" s="41" t="b">
        <v>0</v>
      </c>
      <c r="AG34" s="41" t="b">
        <v>0</v>
      </c>
      <c r="AH34" s="41" t="b">
        <v>0</v>
      </c>
      <c r="AJ34" t="str">
        <f t="shared" si="10"/>
        <v/>
      </c>
    </row>
    <row r="35" spans="1:36" ht="21" customHeight="1" x14ac:dyDescent="0.2">
      <c r="A35" s="96">
        <v>30</v>
      </c>
      <c r="B35" s="423" t="str">
        <f t="shared" si="11"/>
        <v/>
      </c>
      <c r="C35" s="424"/>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2"/>
      <c r="AC35" s="413"/>
      <c r="AD35" s="433"/>
      <c r="AF35" s="41" t="b">
        <v>0</v>
      </c>
      <c r="AG35" s="41" t="b">
        <v>0</v>
      </c>
      <c r="AH35" s="41" t="b">
        <v>0</v>
      </c>
      <c r="AJ35" t="str">
        <f t="shared" si="10"/>
        <v/>
      </c>
    </row>
    <row r="36" spans="1:36" ht="21" customHeight="1" x14ac:dyDescent="0.2">
      <c r="A36" s="96">
        <v>31</v>
      </c>
      <c r="B36" s="423" t="str">
        <f t="shared" si="11"/>
        <v/>
      </c>
      <c r="C36" s="424"/>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2"/>
      <c r="AC36" s="413"/>
      <c r="AD36" s="433"/>
      <c r="AF36" s="41" t="b">
        <v>0</v>
      </c>
      <c r="AG36" s="41" t="b">
        <v>0</v>
      </c>
      <c r="AH36" s="41" t="b">
        <v>0</v>
      </c>
      <c r="AJ36" t="str">
        <f t="shared" si="10"/>
        <v/>
      </c>
    </row>
    <row r="37" spans="1:36" ht="21" customHeight="1" x14ac:dyDescent="0.2">
      <c r="A37" s="101">
        <v>32</v>
      </c>
      <c r="B37" s="423" t="str">
        <f t="shared" si="11"/>
        <v/>
      </c>
      <c r="C37" s="424"/>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2"/>
      <c r="AC37" s="413"/>
      <c r="AD37" s="433"/>
      <c r="AF37" s="41" t="b">
        <v>0</v>
      </c>
      <c r="AG37" s="41" t="b">
        <v>0</v>
      </c>
      <c r="AH37" s="41" t="b">
        <v>0</v>
      </c>
      <c r="AJ37" t="str">
        <f t="shared" si="10"/>
        <v/>
      </c>
    </row>
    <row r="38" spans="1:36" ht="21" customHeight="1" x14ac:dyDescent="0.2">
      <c r="A38" s="96">
        <v>33</v>
      </c>
      <c r="B38" s="423" t="str">
        <f t="shared" si="11"/>
        <v/>
      </c>
      <c r="C38" s="424"/>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2"/>
      <c r="AC38" s="413"/>
      <c r="AD38" s="433"/>
      <c r="AF38" s="41" t="b">
        <v>0</v>
      </c>
      <c r="AG38" s="41" t="b">
        <v>0</v>
      </c>
      <c r="AH38" s="41" t="b">
        <v>0</v>
      </c>
      <c r="AJ38" t="str">
        <f t="shared" si="10"/>
        <v/>
      </c>
    </row>
    <row r="39" spans="1:36" ht="21" customHeight="1" x14ac:dyDescent="0.2">
      <c r="A39" s="96">
        <v>34</v>
      </c>
      <c r="B39" s="423" t="str">
        <f t="shared" si="11"/>
        <v/>
      </c>
      <c r="C39" s="424"/>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2"/>
      <c r="AC39" s="413"/>
      <c r="AD39" s="433"/>
      <c r="AF39" s="41" t="b">
        <v>0</v>
      </c>
      <c r="AG39" s="41" t="b">
        <v>0</v>
      </c>
      <c r="AH39" s="41" t="b">
        <v>0</v>
      </c>
      <c r="AJ39" t="str">
        <f t="shared" si="10"/>
        <v/>
      </c>
    </row>
    <row r="40" spans="1:36" ht="21" customHeight="1" x14ac:dyDescent="0.2">
      <c r="A40" s="101">
        <v>35</v>
      </c>
      <c r="B40" s="423" t="str">
        <f t="shared" si="11"/>
        <v/>
      </c>
      <c r="C40" s="424"/>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2"/>
      <c r="AC40" s="413"/>
      <c r="AD40" s="433"/>
      <c r="AF40" s="41" t="b">
        <v>0</v>
      </c>
      <c r="AG40" s="41" t="b">
        <v>0</v>
      </c>
      <c r="AH40" s="41" t="b">
        <v>0</v>
      </c>
      <c r="AJ40" t="str">
        <f t="shared" si="10"/>
        <v/>
      </c>
    </row>
    <row r="41" spans="1:36" ht="21" customHeight="1" x14ac:dyDescent="0.2">
      <c r="A41" s="96">
        <v>36</v>
      </c>
      <c r="B41" s="423" t="str">
        <f t="shared" si="11"/>
        <v/>
      </c>
      <c r="C41" s="424"/>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2"/>
      <c r="AC41" s="413"/>
      <c r="AD41" s="433"/>
      <c r="AF41" s="41" t="b">
        <v>0</v>
      </c>
      <c r="AG41" s="41" t="b">
        <v>0</v>
      </c>
      <c r="AH41" s="41" t="b">
        <v>0</v>
      </c>
      <c r="AJ41" t="str">
        <f t="shared" si="10"/>
        <v/>
      </c>
    </row>
    <row r="42" spans="1:36" ht="21" customHeight="1" x14ac:dyDescent="0.2">
      <c r="A42" s="96">
        <v>37</v>
      </c>
      <c r="B42" s="423" t="str">
        <f t="shared" si="11"/>
        <v/>
      </c>
      <c r="C42" s="424"/>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2"/>
      <c r="AC42" s="413"/>
      <c r="AD42" s="433"/>
      <c r="AF42" s="41" t="b">
        <v>0</v>
      </c>
      <c r="AG42" s="41" t="b">
        <v>0</v>
      </c>
      <c r="AH42" s="41" t="b">
        <v>0</v>
      </c>
      <c r="AJ42" t="str">
        <f t="shared" si="10"/>
        <v/>
      </c>
    </row>
    <row r="43" spans="1:36" ht="21" customHeight="1" x14ac:dyDescent="0.2">
      <c r="A43" s="101">
        <v>38</v>
      </c>
      <c r="B43" s="423" t="str">
        <f t="shared" si="11"/>
        <v/>
      </c>
      <c r="C43" s="424"/>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2"/>
      <c r="AC43" s="413"/>
      <c r="AD43" s="433"/>
      <c r="AF43" s="41" t="b">
        <v>0</v>
      </c>
      <c r="AG43" s="41" t="b">
        <v>0</v>
      </c>
      <c r="AH43" s="41" t="b">
        <v>0</v>
      </c>
      <c r="AJ43" t="str">
        <f t="shared" si="10"/>
        <v/>
      </c>
    </row>
    <row r="44" spans="1:36" ht="21" customHeight="1" x14ac:dyDescent="0.2">
      <c r="A44" s="96">
        <v>39</v>
      </c>
      <c r="B44" s="423" t="str">
        <f t="shared" si="11"/>
        <v/>
      </c>
      <c r="C44" s="424"/>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2"/>
      <c r="AC44" s="413"/>
      <c r="AD44" s="433"/>
      <c r="AF44" s="41" t="b">
        <v>0</v>
      </c>
      <c r="AG44" s="41" t="b">
        <v>0</v>
      </c>
      <c r="AH44" s="41" t="b">
        <v>0</v>
      </c>
      <c r="AJ44" t="str">
        <f t="shared" si="10"/>
        <v/>
      </c>
    </row>
    <row r="45" spans="1:36" ht="21" customHeight="1" x14ac:dyDescent="0.2">
      <c r="A45" s="96">
        <v>40</v>
      </c>
      <c r="B45" s="423" t="str">
        <f t="shared" si="11"/>
        <v/>
      </c>
      <c r="C45" s="424"/>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2"/>
      <c r="AC45" s="413"/>
      <c r="AD45" s="433"/>
      <c r="AF45" s="41" t="b">
        <v>0</v>
      </c>
      <c r="AG45" s="41" t="b">
        <v>0</v>
      </c>
      <c r="AH45" s="41" t="b">
        <v>0</v>
      </c>
      <c r="AJ45" t="str">
        <f t="shared" si="10"/>
        <v/>
      </c>
    </row>
    <row r="46" spans="1:36" ht="21" customHeight="1" x14ac:dyDescent="0.2">
      <c r="A46" s="101">
        <v>41</v>
      </c>
      <c r="B46" s="423" t="str">
        <f t="shared" si="11"/>
        <v/>
      </c>
      <c r="C46" s="424"/>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2"/>
      <c r="AC46" s="413"/>
      <c r="AD46" s="433"/>
      <c r="AF46" s="41" t="b">
        <v>0</v>
      </c>
      <c r="AG46" s="41" t="b">
        <v>0</v>
      </c>
      <c r="AH46" s="41" t="b">
        <v>0</v>
      </c>
      <c r="AJ46" t="str">
        <f t="shared" si="10"/>
        <v/>
      </c>
    </row>
    <row r="47" spans="1:36" ht="21" customHeight="1" x14ac:dyDescent="0.2">
      <c r="A47" s="96">
        <v>42</v>
      </c>
      <c r="B47" s="423" t="str">
        <f t="shared" si="11"/>
        <v/>
      </c>
      <c r="C47" s="424"/>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2"/>
      <c r="AC47" s="413"/>
      <c r="AD47" s="433"/>
      <c r="AF47" s="41" t="b">
        <v>0</v>
      </c>
      <c r="AG47" s="41" t="b">
        <v>0</v>
      </c>
      <c r="AH47" s="41" t="b">
        <v>0</v>
      </c>
      <c r="AJ47" t="str">
        <f t="shared" si="10"/>
        <v/>
      </c>
    </row>
    <row r="48" spans="1:36" ht="21" customHeight="1" x14ac:dyDescent="0.2">
      <c r="A48" s="96">
        <v>43</v>
      </c>
      <c r="B48" s="423" t="str">
        <f t="shared" si="11"/>
        <v/>
      </c>
      <c r="C48" s="424"/>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2"/>
      <c r="AC48" s="413"/>
      <c r="AD48" s="433"/>
      <c r="AF48" s="41" t="b">
        <v>0</v>
      </c>
      <c r="AG48" s="41" t="b">
        <v>0</v>
      </c>
      <c r="AH48" s="41" t="b">
        <v>0</v>
      </c>
      <c r="AJ48" t="str">
        <f t="shared" si="10"/>
        <v/>
      </c>
    </row>
    <row r="49" spans="1:36" ht="21" customHeight="1" x14ac:dyDescent="0.2">
      <c r="A49" s="101">
        <v>44</v>
      </c>
      <c r="B49" s="423" t="str">
        <f t="shared" si="11"/>
        <v/>
      </c>
      <c r="C49" s="424"/>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2"/>
      <c r="AC49" s="413"/>
      <c r="AD49" s="433"/>
      <c r="AF49" s="41" t="b">
        <v>0</v>
      </c>
      <c r="AG49" s="41" t="b">
        <v>0</v>
      </c>
      <c r="AH49" s="41" t="b">
        <v>0</v>
      </c>
      <c r="AJ49" t="str">
        <f t="shared" si="10"/>
        <v/>
      </c>
    </row>
    <row r="50" spans="1:36" ht="21" customHeight="1" x14ac:dyDescent="0.2">
      <c r="A50" s="96">
        <v>45</v>
      </c>
      <c r="B50" s="423" t="str">
        <f t="shared" si="11"/>
        <v/>
      </c>
      <c r="C50" s="424"/>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2"/>
      <c r="AC50" s="413"/>
      <c r="AD50" s="433"/>
      <c r="AF50" s="41" t="b">
        <v>0</v>
      </c>
      <c r="AG50" s="41" t="b">
        <v>0</v>
      </c>
      <c r="AH50" s="41" t="b">
        <v>0</v>
      </c>
      <c r="AJ50" t="str">
        <f t="shared" si="10"/>
        <v/>
      </c>
    </row>
    <row r="51" spans="1:36" ht="21" customHeight="1" x14ac:dyDescent="0.2">
      <c r="A51" s="96">
        <v>46</v>
      </c>
      <c r="B51" s="423" t="str">
        <f t="shared" si="11"/>
        <v/>
      </c>
      <c r="C51" s="424"/>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2"/>
      <c r="AC51" s="413"/>
      <c r="AD51" s="433"/>
      <c r="AF51" s="41" t="b">
        <v>0</v>
      </c>
      <c r="AG51" s="41" t="b">
        <v>0</v>
      </c>
      <c r="AH51" s="41" t="b">
        <v>0</v>
      </c>
      <c r="AJ51" t="str">
        <f t="shared" si="10"/>
        <v/>
      </c>
    </row>
    <row r="52" spans="1:36" ht="21" customHeight="1" x14ac:dyDescent="0.2">
      <c r="A52" s="101">
        <v>47</v>
      </c>
      <c r="B52" s="423" t="str">
        <f t="shared" si="11"/>
        <v/>
      </c>
      <c r="C52" s="424"/>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2"/>
      <c r="AC52" s="413"/>
      <c r="AD52" s="433"/>
      <c r="AF52" s="41" t="b">
        <v>0</v>
      </c>
      <c r="AG52" s="41" t="b">
        <v>0</v>
      </c>
      <c r="AH52" s="41" t="b">
        <v>0</v>
      </c>
      <c r="AJ52" t="str">
        <f t="shared" si="10"/>
        <v/>
      </c>
    </row>
    <row r="53" spans="1:36" ht="21" customHeight="1" x14ac:dyDescent="0.2">
      <c r="A53" s="96">
        <v>48</v>
      </c>
      <c r="B53" s="423" t="str">
        <f t="shared" si="11"/>
        <v/>
      </c>
      <c r="C53" s="424"/>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2"/>
      <c r="AC53" s="413"/>
      <c r="AD53" s="433"/>
      <c r="AF53" s="41" t="b">
        <v>0</v>
      </c>
      <c r="AG53" s="41" t="b">
        <v>0</v>
      </c>
      <c r="AH53" s="41" t="b">
        <v>0</v>
      </c>
      <c r="AJ53" t="str">
        <f t="shared" si="10"/>
        <v/>
      </c>
    </row>
    <row r="54" spans="1:36" ht="21" customHeight="1" x14ac:dyDescent="0.2">
      <c r="A54" s="96">
        <v>49</v>
      </c>
      <c r="B54" s="423" t="str">
        <f t="shared" si="11"/>
        <v/>
      </c>
      <c r="C54" s="424"/>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2"/>
      <c r="AC54" s="413"/>
      <c r="AD54" s="433"/>
      <c r="AF54" s="41" t="b">
        <v>0</v>
      </c>
      <c r="AG54" s="41" t="b">
        <v>0</v>
      </c>
      <c r="AH54" s="41" t="b">
        <v>0</v>
      </c>
      <c r="AJ54" t="str">
        <f t="shared" si="10"/>
        <v/>
      </c>
    </row>
    <row r="55" spans="1:36" ht="21" customHeight="1" thickBot="1" x14ac:dyDescent="0.25">
      <c r="A55" s="101">
        <v>50</v>
      </c>
      <c r="B55" s="423" t="str">
        <f t="shared" si="11"/>
        <v/>
      </c>
      <c r="C55" s="424"/>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2"/>
      <c r="AC55" s="413"/>
      <c r="AD55" s="433"/>
      <c r="AF55" s="41" t="b">
        <v>0</v>
      </c>
      <c r="AG55" s="41" t="b">
        <v>0</v>
      </c>
      <c r="AH55" s="41" t="b">
        <v>0</v>
      </c>
      <c r="AJ55" t="str">
        <f t="shared" si="10"/>
        <v/>
      </c>
    </row>
    <row r="56" spans="1:36" ht="21" customHeight="1" thickBot="1" x14ac:dyDescent="0.25">
      <c r="A56" s="430" t="str">
        <f>IF(Roster!K25="Italiano","  Note",(IF(Roster!K25="Español","  Notas",(IF(Roster!K25="Deutsch","  Notizen","  Notes")))))</f>
        <v xml:space="preserve">  Notes</v>
      </c>
      <c r="B56" s="431"/>
      <c r="C56" s="432"/>
      <c r="D56" s="425"/>
      <c r="E56" s="426"/>
      <c r="F56" s="426"/>
      <c r="G56" s="426"/>
      <c r="H56" s="426"/>
      <c r="I56" s="426"/>
      <c r="J56" s="426"/>
      <c r="K56" s="426"/>
      <c r="L56" s="426"/>
      <c r="M56" s="426"/>
      <c r="N56" s="426"/>
      <c r="O56" s="426"/>
      <c r="P56" s="426"/>
      <c r="Q56" s="426"/>
      <c r="R56" s="426"/>
      <c r="S56" s="426"/>
      <c r="T56" s="426"/>
      <c r="U56" s="426"/>
      <c r="V56" s="426"/>
      <c r="W56" s="426"/>
      <c r="X56" s="426"/>
      <c r="Y56" s="427"/>
      <c r="Z56" s="426"/>
      <c r="AA56" s="426"/>
      <c r="AB56" s="426"/>
      <c r="AC56" s="428"/>
      <c r="AD56" s="433"/>
      <c r="AF56" s="13"/>
      <c r="AG56" s="13"/>
      <c r="AH56" s="13"/>
    </row>
    <row r="57" spans="1:36" ht="8.25" customHeight="1" x14ac:dyDescent="0.2">
      <c r="A57" s="429"/>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292"/>
      <c r="Z57" s="304"/>
      <c r="AA57" s="304"/>
      <c r="AB57" s="304"/>
      <c r="AC57" s="304"/>
      <c r="AD57" s="305"/>
    </row>
    <row r="58" spans="1:36" ht="30" hidden="1" customHeight="1" x14ac:dyDescent="0.2">
      <c r="A58" s="108"/>
      <c r="B58" s="447"/>
      <c r="C58" s="384"/>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47"/>
      <c r="C59" s="384"/>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47"/>
      <c r="C60" s="384"/>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47"/>
      <c r="C61" s="384"/>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47"/>
      <c r="C62" s="384"/>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47"/>
      <c r="C63" s="384"/>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47"/>
      <c r="C64" s="384"/>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47"/>
      <c r="C65" s="384"/>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47"/>
      <c r="C66" s="384"/>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47"/>
      <c r="C67" s="384"/>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47"/>
      <c r="C68" s="384"/>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47"/>
      <c r="C69" s="384"/>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47"/>
      <c r="C70" s="384"/>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47"/>
      <c r="C71" s="384"/>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47"/>
      <c r="C72" s="384"/>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47"/>
      <c r="C73" s="384"/>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47"/>
      <c r="C74" s="384"/>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47"/>
      <c r="C75" s="384"/>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47"/>
      <c r="C76" s="384"/>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47"/>
      <c r="C77" s="384"/>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47"/>
      <c r="C78" s="384"/>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47"/>
      <c r="C79" s="384"/>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47"/>
      <c r="C80" s="384"/>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47"/>
      <c r="C81" s="384"/>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47"/>
      <c r="C82" s="384"/>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47"/>
      <c r="C83" s="384"/>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47"/>
      <c r="C84" s="384"/>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47"/>
      <c r="C85" s="384"/>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47"/>
      <c r="C86" s="384"/>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47"/>
      <c r="C87" s="384"/>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47"/>
      <c r="C88" s="384"/>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47"/>
      <c r="C89" s="384"/>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47"/>
      <c r="C90" s="384"/>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47"/>
      <c r="C91" s="384"/>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47"/>
      <c r="C92" s="384"/>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47"/>
      <c r="C93" s="384"/>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47"/>
      <c r="C94" s="384"/>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47"/>
      <c r="C95" s="384"/>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47"/>
      <c r="C96" s="384"/>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47"/>
      <c r="C97" s="384"/>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47"/>
      <c r="C98" s="384"/>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47"/>
      <c r="C99" s="384"/>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47"/>
      <c r="C100" s="384"/>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47"/>
      <c r="C101" s="384"/>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47"/>
      <c r="C102" s="384"/>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47"/>
      <c r="C103" s="384"/>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47"/>
      <c r="C104" s="384"/>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47"/>
      <c r="C105" s="384"/>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47"/>
      <c r="C106" s="384"/>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47"/>
      <c r="C107" s="384"/>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47"/>
      <c r="C108" s="384"/>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47"/>
      <c r="C109" s="384"/>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47"/>
      <c r="C110" s="384"/>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47"/>
      <c r="C111" s="384"/>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47"/>
      <c r="C112" s="384"/>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47"/>
      <c r="C113" s="384"/>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47"/>
      <c r="C114" s="384"/>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47"/>
      <c r="C115" s="384"/>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47"/>
      <c r="C116" s="384"/>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47"/>
      <c r="C117" s="384"/>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47"/>
      <c r="C118" s="384"/>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47"/>
      <c r="C119" s="384"/>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47"/>
      <c r="C120" s="384"/>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47"/>
      <c r="C121" s="384"/>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47"/>
      <c r="C122" s="384"/>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47"/>
      <c r="C123" s="384"/>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47"/>
      <c r="C124" s="384"/>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47"/>
      <c r="C125" s="384"/>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47"/>
      <c r="C126" s="384"/>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47"/>
      <c r="C127" s="384"/>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47"/>
      <c r="C128" s="384"/>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47"/>
      <c r="C129" s="384"/>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47"/>
      <c r="C130" s="384"/>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47"/>
      <c r="C131" s="384"/>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47"/>
      <c r="C132" s="384"/>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47"/>
      <c r="C133" s="384"/>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47"/>
      <c r="C134" s="384"/>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47"/>
      <c r="C135" s="384"/>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47"/>
      <c r="C136" s="384"/>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47"/>
      <c r="C137" s="384"/>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47"/>
      <c r="C138" s="384"/>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47"/>
      <c r="C139" s="384"/>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47"/>
      <c r="C140" s="384"/>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47"/>
      <c r="C141" s="384"/>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47"/>
      <c r="C142" s="384"/>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47"/>
      <c r="C143" s="384"/>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47"/>
      <c r="C144" s="384"/>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47"/>
      <c r="C145" s="384"/>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47"/>
      <c r="C146" s="384"/>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47"/>
      <c r="C147" s="384"/>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47"/>
      <c r="C148" s="384"/>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47"/>
      <c r="C149" s="384"/>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47"/>
      <c r="C150" s="384"/>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47"/>
      <c r="C151" s="384"/>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47"/>
      <c r="C152" s="384"/>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47"/>
      <c r="C153" s="384"/>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47"/>
      <c r="C154" s="384"/>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47"/>
      <c r="C155" s="384"/>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47"/>
      <c r="C156" s="384"/>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47"/>
      <c r="C157" s="384"/>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47"/>
      <c r="C158" s="384"/>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47"/>
      <c r="C159" s="384"/>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47"/>
      <c r="C160" s="384"/>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47"/>
      <c r="C161" s="384"/>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47"/>
      <c r="C162" s="384"/>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47"/>
      <c r="C163" s="384"/>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47"/>
      <c r="C164" s="384"/>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47"/>
      <c r="C165" s="384"/>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47"/>
      <c r="C166" s="384"/>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47"/>
      <c r="C167" s="384"/>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47"/>
      <c r="C168" s="384"/>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47"/>
      <c r="C169" s="384"/>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47"/>
      <c r="C170" s="384"/>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47"/>
      <c r="C171" s="384"/>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47"/>
      <c r="C172" s="384"/>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47"/>
      <c r="C173" s="384"/>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47"/>
      <c r="C174" s="384"/>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47"/>
      <c r="C175" s="384"/>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47"/>
      <c r="C176" s="384"/>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47"/>
      <c r="C177" s="384"/>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47"/>
      <c r="C178" s="384"/>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47"/>
      <c r="C179" s="384"/>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47"/>
      <c r="C180" s="384"/>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47"/>
      <c r="C181" s="384"/>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47"/>
      <c r="C182" s="384"/>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47"/>
      <c r="C183" s="384"/>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47"/>
      <c r="C184" s="384"/>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47"/>
      <c r="C185" s="384"/>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47"/>
      <c r="C186" s="384"/>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47"/>
      <c r="C187" s="384"/>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47"/>
      <c r="C188" s="384"/>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47"/>
      <c r="C189" s="384"/>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47"/>
      <c r="C190" s="384"/>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47"/>
      <c r="C191" s="384"/>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47"/>
      <c r="C192" s="384"/>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47"/>
      <c r="C193" s="384"/>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47"/>
      <c r="C194" s="384"/>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47"/>
      <c r="C195" s="384"/>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47"/>
      <c r="C196" s="384"/>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47"/>
      <c r="C197" s="384"/>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47"/>
      <c r="C198" s="384"/>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47"/>
      <c r="C199" s="384"/>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47"/>
      <c r="C200" s="384"/>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47"/>
      <c r="C201" s="384"/>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47"/>
      <c r="C202" s="384"/>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47"/>
      <c r="C203" s="384"/>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47"/>
      <c r="C204" s="384"/>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47"/>
      <c r="C205" s="384"/>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47"/>
      <c r="C206" s="384"/>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47"/>
      <c r="C207" s="384"/>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47"/>
      <c r="C208" s="384"/>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47"/>
      <c r="C209" s="384"/>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47"/>
      <c r="C210" s="384"/>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47"/>
      <c r="C211" s="384"/>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47"/>
      <c r="C212" s="384"/>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47"/>
      <c r="C213" s="384"/>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47"/>
      <c r="C214" s="384"/>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47"/>
      <c r="C215" s="384"/>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47"/>
      <c r="C216" s="384"/>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47"/>
      <c r="C217" s="384"/>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47"/>
      <c r="C218" s="384"/>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47"/>
      <c r="C219" s="384"/>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47"/>
      <c r="C220" s="384"/>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47"/>
      <c r="C221" s="384"/>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47"/>
      <c r="C222" s="384"/>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47"/>
      <c r="C223" s="384"/>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47"/>
      <c r="C224" s="384"/>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47"/>
      <c r="C225" s="384"/>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47"/>
      <c r="C226" s="384"/>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47"/>
      <c r="C227" s="384"/>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47"/>
      <c r="C228" s="384"/>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47"/>
      <c r="C229" s="384"/>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47"/>
      <c r="C230" s="384"/>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47"/>
      <c r="C231" s="384"/>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47"/>
      <c r="C232" s="384"/>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47"/>
      <c r="C233" s="384"/>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47"/>
      <c r="C234" s="384"/>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47"/>
      <c r="C235" s="384"/>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47"/>
      <c r="C236" s="384"/>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47"/>
      <c r="C237" s="384"/>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47"/>
      <c r="C238" s="384"/>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47"/>
      <c r="C239" s="384"/>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47"/>
      <c r="C240" s="384"/>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47"/>
      <c r="C241" s="384"/>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47"/>
      <c r="C242" s="384"/>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47"/>
      <c r="C243" s="384"/>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47"/>
      <c r="C244" s="384"/>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47"/>
      <c r="C245" s="384"/>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47"/>
      <c r="C246" s="384"/>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47"/>
      <c r="C247" s="384"/>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0"/>
      <c r="L248" s="57"/>
      <c r="M248" s="119"/>
      <c r="N248" s="57"/>
      <c r="O248" s="57"/>
      <c r="P248" s="57"/>
      <c r="Q248" s="57"/>
      <c r="R248" s="57"/>
      <c r="S248" s="119"/>
      <c r="T248" s="57"/>
      <c r="AD248" s="120"/>
    </row>
    <row r="249" spans="1:30" ht="30" hidden="1" customHeight="1" x14ac:dyDescent="0.2">
      <c r="A249" s="116"/>
      <c r="D249" s="117"/>
      <c r="E249" s="117"/>
      <c r="I249" s="118"/>
      <c r="J249" s="13"/>
      <c r="K249" s="270"/>
      <c r="L249" s="57"/>
      <c r="M249" s="119"/>
      <c r="N249" s="57"/>
      <c r="O249" s="57"/>
      <c r="P249" s="57"/>
      <c r="Q249" s="57"/>
      <c r="R249" s="57"/>
      <c r="S249" s="119"/>
      <c r="T249" s="57"/>
      <c r="AD249" s="120"/>
    </row>
    <row r="250" spans="1:30" ht="30" hidden="1" customHeight="1" x14ac:dyDescent="0.2">
      <c r="A250" s="116"/>
      <c r="D250" s="117"/>
      <c r="E250" s="117"/>
      <c r="I250" s="118"/>
      <c r="J250" s="13"/>
      <c r="K250" s="270"/>
      <c r="L250" s="57"/>
      <c r="M250" s="119"/>
      <c r="N250" s="57"/>
      <c r="O250" s="57"/>
      <c r="P250" s="57"/>
      <c r="Q250" s="57"/>
      <c r="R250" s="57"/>
      <c r="S250" s="119"/>
      <c r="T250" s="57"/>
      <c r="AD250" s="120"/>
    </row>
    <row r="251" spans="1:30" ht="30" hidden="1" customHeight="1" x14ac:dyDescent="0.2">
      <c r="A251" s="116"/>
      <c r="D251" s="117"/>
      <c r="E251" s="117"/>
      <c r="I251" s="118"/>
      <c r="J251" s="13"/>
      <c r="K251" s="270"/>
      <c r="L251" s="57"/>
      <c r="M251" s="119"/>
      <c r="N251" s="57"/>
      <c r="O251" s="57"/>
      <c r="P251" s="57"/>
      <c r="Q251" s="57"/>
      <c r="R251" s="57"/>
      <c r="S251" s="119"/>
      <c r="T251" s="57"/>
      <c r="AD251" s="120"/>
    </row>
    <row r="252" spans="1:30" ht="30" hidden="1" customHeight="1" x14ac:dyDescent="0.2">
      <c r="A252" s="116"/>
      <c r="D252" s="117"/>
      <c r="E252" s="117"/>
      <c r="I252" s="118"/>
      <c r="J252" s="13"/>
      <c r="K252" s="270"/>
      <c r="L252" s="57"/>
      <c r="M252" s="119"/>
      <c r="N252" s="57"/>
      <c r="O252" s="57"/>
      <c r="P252" s="57"/>
      <c r="Q252" s="57"/>
      <c r="R252" s="57"/>
      <c r="S252" s="119"/>
      <c r="T252" s="57"/>
      <c r="AD252" s="120"/>
    </row>
    <row r="253" spans="1:30" ht="30" hidden="1" customHeight="1" x14ac:dyDescent="0.2">
      <c r="A253" s="116"/>
      <c r="D253" s="117"/>
      <c r="E253" s="117"/>
      <c r="I253" s="118"/>
      <c r="J253" s="13"/>
      <c r="K253" s="270"/>
      <c r="L253" s="57"/>
      <c r="M253" s="119"/>
      <c r="N253" s="57"/>
      <c r="O253" s="57"/>
      <c r="P253" s="57"/>
      <c r="Q253" s="57"/>
      <c r="R253" s="57"/>
      <c r="S253" s="119"/>
      <c r="T253" s="57"/>
      <c r="AD253" s="120"/>
    </row>
    <row r="254" spans="1:30" ht="30" hidden="1" customHeight="1" x14ac:dyDescent="0.2">
      <c r="A254" s="116"/>
      <c r="D254" s="117"/>
      <c r="E254" s="117"/>
      <c r="I254" s="118"/>
      <c r="J254" s="13"/>
      <c r="K254" s="270"/>
      <c r="L254" s="57"/>
      <c r="M254" s="119"/>
      <c r="N254" s="57"/>
      <c r="O254" s="57"/>
      <c r="P254" s="57"/>
      <c r="Q254" s="57"/>
      <c r="R254" s="57"/>
      <c r="S254" s="119"/>
      <c r="T254" s="57"/>
      <c r="AD254" s="120"/>
    </row>
    <row r="255" spans="1:30" ht="30" hidden="1" customHeight="1" x14ac:dyDescent="0.2">
      <c r="A255" s="116"/>
      <c r="D255" s="117"/>
      <c r="E255" s="117"/>
      <c r="I255" s="118"/>
      <c r="J255" s="13"/>
      <c r="K255" s="270"/>
      <c r="L255" s="57"/>
      <c r="M255" s="119"/>
      <c r="N255" s="57"/>
      <c r="O255" s="57"/>
      <c r="P255" s="57"/>
      <c r="Q255" s="57"/>
      <c r="R255" s="57"/>
      <c r="S255" s="119"/>
      <c r="T255" s="57"/>
      <c r="AD255" s="120"/>
    </row>
    <row r="256" spans="1:30" ht="30" hidden="1" customHeight="1" x14ac:dyDescent="0.2">
      <c r="A256" s="116"/>
      <c r="D256" s="117"/>
      <c r="E256" s="117"/>
      <c r="I256" s="118"/>
      <c r="J256" s="13"/>
      <c r="K256" s="270"/>
      <c r="L256" s="57"/>
      <c r="M256" s="119"/>
      <c r="N256" s="57"/>
      <c r="O256" s="57"/>
      <c r="P256" s="57"/>
      <c r="Q256" s="57"/>
      <c r="R256" s="57"/>
      <c r="S256" s="119"/>
      <c r="T256" s="57"/>
      <c r="AD256" s="120"/>
    </row>
    <row r="257" spans="1:30" ht="12.75" hidden="1" customHeight="1" x14ac:dyDescent="0.2">
      <c r="A257" s="121"/>
      <c r="D257" s="117"/>
      <c r="E257" s="117"/>
      <c r="I257" s="118"/>
      <c r="J257" s="13"/>
      <c r="K257" s="270"/>
      <c r="L257" s="57"/>
      <c r="M257" s="119"/>
      <c r="N257" s="57"/>
      <c r="O257" s="57"/>
      <c r="P257" s="57"/>
      <c r="Q257" s="57"/>
      <c r="R257" s="57"/>
      <c r="S257" s="119"/>
      <c r="T257" s="57"/>
      <c r="AD257" s="122"/>
    </row>
    <row r="258" spans="1:30" ht="12.75" hidden="1" customHeight="1" x14ac:dyDescent="0.2">
      <c r="A258" s="121"/>
      <c r="D258" s="117"/>
      <c r="E258" s="117"/>
      <c r="I258" s="118"/>
      <c r="J258" s="13"/>
      <c r="K258" s="270"/>
      <c r="L258" s="57"/>
      <c r="M258" s="119"/>
      <c r="N258" s="57"/>
      <c r="O258" s="57"/>
      <c r="P258" s="57"/>
      <c r="Q258" s="57"/>
      <c r="R258" s="57"/>
      <c r="S258" s="119"/>
      <c r="T258" s="57"/>
      <c r="AD258" s="122"/>
    </row>
    <row r="259" spans="1:30" ht="12.75" hidden="1" customHeight="1" x14ac:dyDescent="0.2">
      <c r="A259" s="121"/>
      <c r="D259" s="117"/>
      <c r="E259" s="117"/>
      <c r="I259" s="118"/>
      <c r="J259" s="13"/>
      <c r="K259" s="270"/>
      <c r="L259" s="57"/>
      <c r="M259" s="119"/>
      <c r="N259" s="57"/>
      <c r="O259" s="57"/>
      <c r="P259" s="57"/>
      <c r="Q259" s="57"/>
      <c r="R259" s="57"/>
      <c r="S259" s="119"/>
      <c r="T259" s="57"/>
      <c r="AD259" s="122"/>
    </row>
    <row r="260" spans="1:30" ht="12.75" hidden="1" customHeight="1" x14ac:dyDescent="0.2">
      <c r="A260" s="121"/>
      <c r="D260" s="117"/>
      <c r="E260" s="117"/>
      <c r="I260" s="118"/>
      <c r="J260" s="13"/>
      <c r="K260" s="270"/>
      <c r="L260" s="57"/>
      <c r="M260" s="119"/>
      <c r="N260" s="57"/>
      <c r="O260" s="57"/>
      <c r="P260" s="57"/>
      <c r="Q260" s="57"/>
      <c r="R260" s="57"/>
      <c r="S260" s="119"/>
      <c r="T260" s="57"/>
      <c r="AD260" s="122"/>
    </row>
    <row r="261" spans="1:30" ht="12.75" hidden="1" customHeight="1" x14ac:dyDescent="0.2">
      <c r="A261" s="121"/>
      <c r="D261" s="117"/>
      <c r="E261" s="117"/>
      <c r="I261" s="118"/>
      <c r="J261" s="13"/>
      <c r="K261" s="270"/>
      <c r="L261" s="57"/>
      <c r="M261" s="119"/>
      <c r="N261" s="57"/>
      <c r="O261" s="57"/>
      <c r="P261" s="57"/>
      <c r="Q261" s="57"/>
      <c r="R261" s="57"/>
      <c r="S261" s="119"/>
      <c r="T261" s="57"/>
      <c r="AD261" s="122"/>
    </row>
    <row r="262" spans="1:30" ht="12.75" hidden="1" customHeight="1" x14ac:dyDescent="0.2">
      <c r="A262" s="121"/>
      <c r="D262" s="117"/>
      <c r="E262" s="117"/>
      <c r="I262" s="118"/>
      <c r="J262" s="13"/>
      <c r="K262" s="270"/>
      <c r="L262" s="57"/>
      <c r="M262" s="119"/>
      <c r="N262" s="57"/>
      <c r="O262" s="57"/>
      <c r="P262" s="57"/>
      <c r="Q262" s="57"/>
      <c r="R262" s="57"/>
      <c r="S262" s="119"/>
      <c r="T262" s="57"/>
      <c r="AD262" s="122"/>
    </row>
    <row r="263" spans="1:30" ht="12.75" hidden="1" customHeight="1" x14ac:dyDescent="0.2">
      <c r="A263" s="121"/>
      <c r="D263" s="117"/>
      <c r="E263" s="117"/>
      <c r="I263" s="118"/>
      <c r="J263" s="13"/>
      <c r="K263" s="270"/>
      <c r="L263" s="57"/>
      <c r="M263" s="119"/>
      <c r="N263" s="57"/>
      <c r="O263" s="57"/>
      <c r="P263" s="57"/>
      <c r="Q263" s="57"/>
      <c r="R263" s="57"/>
      <c r="S263" s="119"/>
      <c r="T263" s="57"/>
      <c r="AD263" s="122"/>
    </row>
    <row r="264" spans="1:30" ht="12.75" hidden="1" customHeight="1" x14ac:dyDescent="0.2">
      <c r="A264" s="121"/>
      <c r="D264" s="117"/>
      <c r="E264" s="117"/>
      <c r="I264" s="118"/>
      <c r="J264" s="13"/>
      <c r="K264" s="270"/>
      <c r="L264" s="57"/>
      <c r="M264" s="119"/>
      <c r="N264" s="57"/>
      <c r="O264" s="57"/>
      <c r="P264" s="57"/>
      <c r="Q264" s="57"/>
      <c r="R264" s="57"/>
      <c r="S264" s="119"/>
      <c r="T264" s="57"/>
      <c r="AD264" s="122"/>
    </row>
    <row r="265" spans="1:30" ht="12.75" hidden="1" customHeight="1" x14ac:dyDescent="0.2">
      <c r="A265" s="121"/>
      <c r="D265" s="117"/>
      <c r="E265" s="117"/>
      <c r="I265" s="118"/>
      <c r="J265" s="13"/>
      <c r="K265" s="270"/>
      <c r="L265" s="57"/>
      <c r="M265" s="119"/>
      <c r="N265" s="57"/>
      <c r="O265" s="57"/>
      <c r="P265" s="57"/>
      <c r="Q265" s="57"/>
      <c r="R265" s="57"/>
      <c r="S265" s="119"/>
      <c r="T265" s="57"/>
      <c r="AD265" s="122"/>
    </row>
    <row r="266" spans="1:30" ht="12.75" hidden="1" customHeight="1" x14ac:dyDescent="0.2">
      <c r="A266" s="121"/>
      <c r="D266" s="117"/>
      <c r="E266" s="117"/>
      <c r="I266" s="118"/>
      <c r="J266" s="13"/>
      <c r="K266" s="270"/>
      <c r="L266" s="57"/>
      <c r="M266" s="119"/>
      <c r="N266" s="57"/>
      <c r="O266" s="57"/>
      <c r="P266" s="57"/>
      <c r="Q266" s="57"/>
      <c r="R266" s="57"/>
      <c r="S266" s="119"/>
      <c r="T266" s="57"/>
      <c r="AD266" s="122"/>
    </row>
    <row r="267" spans="1:30" ht="12.75" hidden="1" customHeight="1" x14ac:dyDescent="0.2">
      <c r="A267" s="121"/>
      <c r="D267" s="117"/>
      <c r="E267" s="117"/>
      <c r="I267" s="118"/>
      <c r="J267" s="13"/>
      <c r="K267" s="270"/>
      <c r="L267" s="57"/>
      <c r="M267" s="119"/>
      <c r="N267" s="57"/>
      <c r="O267" s="57"/>
      <c r="P267" s="57"/>
      <c r="Q267" s="57"/>
      <c r="R267" s="57"/>
      <c r="S267" s="119"/>
      <c r="T267" s="57"/>
      <c r="AD267" s="122"/>
    </row>
    <row r="268" spans="1:30" ht="12.75" hidden="1" customHeight="1" x14ac:dyDescent="0.2">
      <c r="A268" s="121"/>
      <c r="D268" s="117"/>
      <c r="E268" s="117"/>
      <c r="I268" s="118"/>
      <c r="J268" s="13"/>
      <c r="K268" s="270"/>
      <c r="L268" s="57"/>
      <c r="M268" s="119"/>
      <c r="N268" s="57"/>
      <c r="O268" s="57"/>
      <c r="P268" s="57"/>
      <c r="Q268" s="57"/>
      <c r="R268" s="57"/>
      <c r="S268" s="119"/>
      <c r="T268" s="57"/>
      <c r="AD268" s="122"/>
    </row>
    <row r="269" spans="1:30" ht="12.75" hidden="1" customHeight="1" x14ac:dyDescent="0.2">
      <c r="A269" s="121"/>
      <c r="D269" s="117"/>
      <c r="E269" s="117"/>
      <c r="I269" s="118"/>
      <c r="J269" s="13"/>
      <c r="K269" s="270"/>
      <c r="L269" s="57"/>
      <c r="M269" s="119"/>
      <c r="N269" s="57"/>
      <c r="O269" s="57"/>
      <c r="P269" s="57"/>
      <c r="Q269" s="57"/>
      <c r="R269" s="57"/>
      <c r="S269" s="119"/>
      <c r="T269" s="57"/>
      <c r="AD269" s="122"/>
    </row>
    <row r="270" spans="1:30" ht="12.75" hidden="1" customHeight="1" x14ac:dyDescent="0.2">
      <c r="A270" s="121"/>
      <c r="D270" s="117"/>
      <c r="E270" s="117"/>
      <c r="I270" s="118"/>
      <c r="J270" s="13"/>
      <c r="K270" s="270"/>
      <c r="L270" s="57"/>
      <c r="M270" s="119"/>
      <c r="N270" s="57"/>
      <c r="O270" s="57"/>
      <c r="P270" s="57"/>
      <c r="Q270" s="57"/>
      <c r="R270" s="57"/>
      <c r="S270" s="119"/>
      <c r="T270" s="57"/>
      <c r="AD270" s="122"/>
    </row>
    <row r="271" spans="1:30" ht="12.75" hidden="1" customHeight="1" x14ac:dyDescent="0.2">
      <c r="A271" s="121"/>
      <c r="D271" s="117"/>
      <c r="E271" s="117"/>
      <c r="I271" s="118"/>
      <c r="J271" s="13"/>
      <c r="K271" s="270"/>
      <c r="L271" s="57"/>
      <c r="M271" s="119"/>
      <c r="N271" s="57"/>
      <c r="O271" s="57"/>
      <c r="P271" s="57"/>
      <c r="Q271" s="57"/>
      <c r="R271" s="57"/>
      <c r="S271" s="119"/>
      <c r="T271" s="57"/>
      <c r="AD271" s="122"/>
    </row>
    <row r="272" spans="1:30" ht="12.75" hidden="1" customHeight="1" x14ac:dyDescent="0.2">
      <c r="A272" s="121"/>
      <c r="D272" s="117"/>
      <c r="E272" s="117"/>
      <c r="I272" s="118"/>
      <c r="J272" s="13"/>
      <c r="K272" s="270"/>
      <c r="L272" s="57"/>
      <c r="M272" s="119"/>
      <c r="N272" s="57"/>
      <c r="O272" s="57"/>
      <c r="P272" s="57"/>
      <c r="Q272" s="57"/>
      <c r="R272" s="57"/>
      <c r="S272" s="119"/>
      <c r="T272" s="57"/>
      <c r="AD272" s="122"/>
    </row>
    <row r="273" spans="1:30" ht="12.75" hidden="1" customHeight="1" x14ac:dyDescent="0.2">
      <c r="A273" s="121"/>
      <c r="D273" s="117"/>
      <c r="E273" s="117"/>
      <c r="I273" s="118"/>
      <c r="J273" s="13"/>
      <c r="K273" s="270"/>
      <c r="L273" s="57"/>
      <c r="M273" s="119"/>
      <c r="N273" s="57"/>
      <c r="O273" s="57"/>
      <c r="P273" s="57"/>
      <c r="Q273" s="57"/>
      <c r="R273" s="57"/>
      <c r="S273" s="119"/>
      <c r="T273" s="57"/>
      <c r="AD273" s="122"/>
    </row>
    <row r="274" spans="1:30" ht="12.75" hidden="1" customHeight="1" x14ac:dyDescent="0.2">
      <c r="A274" s="121"/>
      <c r="D274" s="117"/>
      <c r="E274" s="117"/>
      <c r="I274" s="118"/>
      <c r="J274" s="13"/>
      <c r="K274" s="270"/>
      <c r="L274" s="57"/>
      <c r="M274" s="119"/>
      <c r="N274" s="57"/>
      <c r="O274" s="57"/>
      <c r="P274" s="57"/>
      <c r="Q274" s="57"/>
      <c r="R274" s="57"/>
      <c r="S274" s="119"/>
      <c r="T274" s="57"/>
      <c r="AD274" s="122"/>
    </row>
    <row r="275" spans="1:30" ht="12.75" hidden="1" customHeight="1" x14ac:dyDescent="0.2">
      <c r="A275" s="121"/>
      <c r="D275" s="117"/>
      <c r="E275" s="117"/>
      <c r="I275" s="118"/>
      <c r="J275" s="13"/>
      <c r="K275" s="270"/>
      <c r="L275" s="57"/>
      <c r="M275" s="119"/>
      <c r="N275" s="57"/>
      <c r="O275" s="57"/>
      <c r="P275" s="57"/>
      <c r="Q275" s="57"/>
      <c r="R275" s="57"/>
      <c r="S275" s="119"/>
      <c r="T275" s="57"/>
      <c r="AD275" s="122"/>
    </row>
    <row r="276" spans="1:30" ht="12.75" hidden="1" customHeight="1" x14ac:dyDescent="0.2">
      <c r="A276" s="121"/>
      <c r="D276" s="117"/>
      <c r="E276" s="117"/>
      <c r="I276" s="118"/>
      <c r="J276" s="13"/>
      <c r="K276" s="270"/>
      <c r="L276" s="57"/>
      <c r="M276" s="119"/>
      <c r="N276" s="57"/>
      <c r="O276" s="57"/>
      <c r="P276" s="57"/>
      <c r="Q276" s="57"/>
      <c r="R276" s="57"/>
      <c r="S276" s="119"/>
      <c r="T276" s="57"/>
      <c r="AD276" s="122"/>
    </row>
    <row r="277" spans="1:30" ht="12.75" hidden="1" customHeight="1" x14ac:dyDescent="0.2">
      <c r="A277" s="121"/>
      <c r="D277" s="117"/>
      <c r="E277" s="117"/>
      <c r="I277" s="118"/>
      <c r="J277" s="13"/>
      <c r="K277" s="270"/>
      <c r="L277" s="57"/>
      <c r="M277" s="119"/>
      <c r="N277" s="57"/>
      <c r="O277" s="57"/>
      <c r="P277" s="57"/>
      <c r="Q277" s="57"/>
      <c r="R277" s="57"/>
      <c r="S277" s="119"/>
      <c r="T277" s="57"/>
      <c r="AD277" s="122"/>
    </row>
    <row r="278" spans="1:30" ht="12.75" hidden="1" customHeight="1" x14ac:dyDescent="0.2">
      <c r="A278" s="121"/>
      <c r="D278" s="117"/>
      <c r="E278" s="117"/>
      <c r="I278" s="118"/>
      <c r="J278" s="13"/>
      <c r="K278" s="270"/>
      <c r="L278" s="57"/>
      <c r="M278" s="119"/>
      <c r="N278" s="57"/>
      <c r="O278" s="57"/>
      <c r="P278" s="57"/>
      <c r="Q278" s="57"/>
      <c r="R278" s="57"/>
      <c r="S278" s="119"/>
      <c r="T278" s="57"/>
      <c r="AD278" s="122"/>
    </row>
    <row r="279" spans="1:30" ht="12.75" hidden="1" customHeight="1" x14ac:dyDescent="0.2">
      <c r="A279" s="121"/>
      <c r="D279" s="117"/>
      <c r="E279" s="117"/>
      <c r="I279" s="118"/>
      <c r="J279" s="13"/>
      <c r="K279" s="270"/>
      <c r="L279" s="57"/>
      <c r="M279" s="119"/>
      <c r="N279" s="57"/>
      <c r="O279" s="57"/>
      <c r="P279" s="57"/>
      <c r="Q279" s="57"/>
      <c r="R279" s="57"/>
      <c r="S279" s="119"/>
      <c r="T279" s="57"/>
      <c r="AD279" s="122"/>
    </row>
    <row r="280" spans="1:30" ht="12.75" hidden="1" customHeight="1" x14ac:dyDescent="0.2">
      <c r="A280" s="121"/>
      <c r="D280" s="117"/>
      <c r="E280" s="117"/>
      <c r="I280" s="118"/>
      <c r="J280" s="13"/>
      <c r="K280" s="270"/>
      <c r="L280" s="57"/>
      <c r="M280" s="119"/>
      <c r="N280" s="57"/>
      <c r="O280" s="57"/>
      <c r="P280" s="57"/>
      <c r="Q280" s="57"/>
      <c r="R280" s="57"/>
      <c r="S280" s="119"/>
      <c r="T280" s="57"/>
      <c r="AD280" s="122"/>
    </row>
    <row r="281" spans="1:30" ht="12.75" hidden="1" customHeight="1" x14ac:dyDescent="0.2">
      <c r="A281" s="121"/>
      <c r="D281" s="117"/>
      <c r="E281" s="117"/>
      <c r="I281" s="118"/>
      <c r="J281" s="13"/>
      <c r="K281" s="270"/>
      <c r="L281" s="57"/>
      <c r="M281" s="119"/>
      <c r="N281" s="57"/>
      <c r="O281" s="57"/>
      <c r="P281" s="57"/>
      <c r="Q281" s="57"/>
      <c r="R281" s="57"/>
      <c r="S281" s="119"/>
      <c r="T281" s="57"/>
      <c r="AD281" s="122"/>
    </row>
    <row r="282" spans="1:30" ht="12.75" hidden="1" customHeight="1" x14ac:dyDescent="0.2">
      <c r="A282" s="121"/>
      <c r="D282" s="117"/>
      <c r="E282" s="117"/>
      <c r="I282" s="118"/>
      <c r="J282" s="13"/>
      <c r="K282" s="270"/>
      <c r="L282" s="57"/>
      <c r="M282" s="119"/>
      <c r="N282" s="57"/>
      <c r="O282" s="57"/>
      <c r="P282" s="57"/>
      <c r="Q282" s="57"/>
      <c r="R282" s="57"/>
      <c r="S282" s="119"/>
      <c r="T282" s="57"/>
      <c r="AD282" s="122"/>
    </row>
    <row r="283" spans="1:30" ht="12.75" hidden="1" customHeight="1" x14ac:dyDescent="0.2">
      <c r="A283" s="121"/>
      <c r="D283" s="117"/>
      <c r="E283" s="117"/>
      <c r="I283" s="118"/>
      <c r="J283" s="13"/>
      <c r="K283" s="270"/>
      <c r="L283" s="57"/>
      <c r="M283" s="119"/>
      <c r="N283" s="57"/>
      <c r="O283" s="57"/>
      <c r="P283" s="57"/>
      <c r="Q283" s="57"/>
      <c r="R283" s="57"/>
      <c r="S283" s="119"/>
      <c r="T283" s="57"/>
      <c r="AD283" s="122"/>
    </row>
    <row r="284" spans="1:30" ht="12.75" hidden="1" customHeight="1" x14ac:dyDescent="0.2">
      <c r="A284" s="121"/>
      <c r="D284" s="117"/>
      <c r="E284" s="117"/>
      <c r="I284" s="118"/>
      <c r="J284" s="13"/>
      <c r="K284" s="270"/>
      <c r="L284" s="57"/>
      <c r="M284" s="119"/>
      <c r="N284" s="57"/>
      <c r="O284" s="57"/>
      <c r="P284" s="57"/>
      <c r="Q284" s="57"/>
      <c r="R284" s="57"/>
      <c r="S284" s="119"/>
      <c r="T284" s="57"/>
      <c r="AD284" s="122"/>
    </row>
    <row r="285" spans="1:30" ht="12.75" hidden="1" customHeight="1" x14ac:dyDescent="0.2">
      <c r="A285" s="121"/>
      <c r="D285" s="117"/>
      <c r="E285" s="117"/>
      <c r="I285" s="118"/>
      <c r="J285" s="13"/>
      <c r="K285" s="270"/>
      <c r="L285" s="57"/>
      <c r="M285" s="119"/>
      <c r="N285" s="57"/>
      <c r="O285" s="57"/>
      <c r="P285" s="57"/>
      <c r="Q285" s="57"/>
      <c r="R285" s="57"/>
      <c r="S285" s="119"/>
      <c r="T285" s="57"/>
      <c r="AD285" s="122"/>
    </row>
    <row r="286" spans="1:30" ht="12.75" hidden="1" customHeight="1" x14ac:dyDescent="0.2">
      <c r="A286" s="121"/>
      <c r="D286" s="117"/>
      <c r="E286" s="117"/>
      <c r="I286" s="118"/>
      <c r="J286" s="13"/>
      <c r="K286" s="270"/>
      <c r="L286" s="57"/>
      <c r="M286" s="119"/>
      <c r="N286" s="57"/>
      <c r="O286" s="57"/>
      <c r="P286" s="57"/>
      <c r="Q286" s="57"/>
      <c r="R286" s="57"/>
      <c r="S286" s="119"/>
      <c r="T286" s="57"/>
      <c r="AD286" s="122"/>
    </row>
    <row r="287" spans="1:30" ht="12.75" hidden="1" customHeight="1" x14ac:dyDescent="0.2">
      <c r="A287" s="121"/>
      <c r="D287" s="117"/>
      <c r="E287" s="117"/>
      <c r="I287" s="118"/>
      <c r="J287" s="13"/>
      <c r="K287" s="270"/>
      <c r="L287" s="57"/>
      <c r="M287" s="119"/>
      <c r="N287" s="57"/>
      <c r="O287" s="57"/>
      <c r="P287" s="57"/>
      <c r="Q287" s="57"/>
      <c r="R287" s="57"/>
      <c r="S287" s="119"/>
      <c r="T287" s="57"/>
      <c r="AD287" s="122"/>
    </row>
    <row r="288" spans="1:30" ht="12.75" hidden="1" customHeight="1" x14ac:dyDescent="0.2">
      <c r="A288" s="121"/>
      <c r="D288" s="117"/>
      <c r="E288" s="117"/>
      <c r="I288" s="118"/>
      <c r="J288" s="13"/>
      <c r="K288" s="270"/>
      <c r="L288" s="57"/>
      <c r="M288" s="119"/>
      <c r="N288" s="57"/>
      <c r="O288" s="57"/>
      <c r="P288" s="57"/>
      <c r="Q288" s="57"/>
      <c r="R288" s="57"/>
      <c r="S288" s="119"/>
      <c r="T288" s="57"/>
      <c r="AD288" s="122"/>
    </row>
    <row r="289" spans="1:30" ht="12.75" hidden="1" customHeight="1" x14ac:dyDescent="0.2">
      <c r="A289" s="121"/>
      <c r="D289" s="117"/>
      <c r="E289" s="117"/>
      <c r="I289" s="118"/>
      <c r="J289" s="13"/>
      <c r="K289" s="270"/>
      <c r="L289" s="57"/>
      <c r="M289" s="119"/>
      <c r="N289" s="57"/>
      <c r="O289" s="57"/>
      <c r="P289" s="57"/>
      <c r="Q289" s="57"/>
      <c r="R289" s="57"/>
      <c r="S289" s="119"/>
      <c r="T289" s="57"/>
      <c r="AD289" s="122"/>
    </row>
    <row r="290" spans="1:30" ht="12.75" hidden="1" customHeight="1" x14ac:dyDescent="0.2">
      <c r="A290" s="121"/>
      <c r="D290" s="117"/>
      <c r="E290" s="117"/>
      <c r="I290" s="118"/>
      <c r="J290" s="13"/>
      <c r="K290" s="270"/>
      <c r="L290" s="57"/>
      <c r="M290" s="119"/>
      <c r="N290" s="57"/>
      <c r="O290" s="57"/>
      <c r="P290" s="57"/>
      <c r="Q290" s="57"/>
      <c r="R290" s="57"/>
      <c r="S290" s="119"/>
      <c r="T290" s="57"/>
      <c r="AD290" s="122"/>
    </row>
    <row r="291" spans="1:30" ht="12.75" hidden="1" customHeight="1" x14ac:dyDescent="0.2">
      <c r="A291" s="121"/>
      <c r="D291" s="117"/>
      <c r="E291" s="117"/>
      <c r="I291" s="118"/>
      <c r="J291" s="13"/>
      <c r="K291" s="270"/>
      <c r="L291" s="57"/>
      <c r="M291" s="119"/>
      <c r="N291" s="57"/>
      <c r="O291" s="57"/>
      <c r="P291" s="57"/>
      <c r="Q291" s="57"/>
      <c r="R291" s="57"/>
      <c r="S291" s="119"/>
      <c r="T291" s="57"/>
      <c r="AD291" s="122"/>
    </row>
    <row r="292" spans="1:30" ht="12.75" hidden="1" customHeight="1" x14ac:dyDescent="0.2">
      <c r="A292" s="121"/>
      <c r="D292" s="117"/>
      <c r="E292" s="117"/>
      <c r="I292" s="118"/>
      <c r="J292" s="13"/>
      <c r="K292" s="270"/>
      <c r="L292" s="57"/>
      <c r="M292" s="119"/>
      <c r="N292" s="57"/>
      <c r="O292" s="57"/>
      <c r="P292" s="57"/>
      <c r="Q292" s="57"/>
      <c r="R292" s="57"/>
      <c r="S292" s="119"/>
      <c r="T292" s="57"/>
      <c r="AD292" s="122"/>
    </row>
    <row r="293" spans="1:30" ht="12.75" hidden="1" customHeight="1" x14ac:dyDescent="0.2">
      <c r="A293" s="121"/>
      <c r="D293" s="117"/>
      <c r="E293" s="117"/>
      <c r="I293" s="118"/>
      <c r="J293" s="13"/>
      <c r="K293" s="270"/>
      <c r="L293" s="57"/>
      <c r="M293" s="119"/>
      <c r="N293" s="57"/>
      <c r="O293" s="57"/>
      <c r="P293" s="57"/>
      <c r="Q293" s="57"/>
      <c r="R293" s="57"/>
      <c r="S293" s="119"/>
      <c r="T293" s="57"/>
      <c r="AD293" s="122"/>
    </row>
    <row r="294" spans="1:30" ht="12.75" hidden="1" customHeight="1" x14ac:dyDescent="0.2">
      <c r="A294" s="121"/>
      <c r="D294" s="117"/>
      <c r="E294" s="117"/>
      <c r="I294" s="118"/>
      <c r="J294" s="13"/>
      <c r="K294" s="270"/>
      <c r="L294" s="57"/>
      <c r="M294" s="119"/>
      <c r="N294" s="57"/>
      <c r="O294" s="57"/>
      <c r="P294" s="57"/>
      <c r="Q294" s="57"/>
      <c r="R294" s="57"/>
      <c r="S294" s="119"/>
      <c r="T294" s="57"/>
      <c r="AD294" s="122"/>
    </row>
    <row r="295" spans="1:30" ht="12.75" hidden="1" customHeight="1" x14ac:dyDescent="0.2">
      <c r="A295" s="121"/>
      <c r="D295" s="117"/>
      <c r="E295" s="117"/>
      <c r="I295" s="118"/>
      <c r="J295" s="13"/>
      <c r="K295" s="270"/>
      <c r="L295" s="57"/>
      <c r="M295" s="119"/>
      <c r="N295" s="57"/>
      <c r="O295" s="57"/>
      <c r="P295" s="57"/>
      <c r="Q295" s="57"/>
      <c r="R295" s="57"/>
      <c r="S295" s="119"/>
      <c r="T295" s="57"/>
      <c r="AD295" s="122"/>
    </row>
    <row r="296" spans="1:30" ht="12.75" hidden="1" customHeight="1" x14ac:dyDescent="0.2">
      <c r="A296" s="121"/>
      <c r="D296" s="117"/>
      <c r="E296" s="117"/>
      <c r="I296" s="118"/>
      <c r="J296" s="13"/>
      <c r="K296" s="270"/>
      <c r="L296" s="57"/>
      <c r="M296" s="119"/>
      <c r="N296" s="57"/>
      <c r="O296" s="57"/>
      <c r="P296" s="57"/>
      <c r="Q296" s="57"/>
      <c r="R296" s="57"/>
      <c r="S296" s="119"/>
      <c r="T296" s="57"/>
      <c r="AD296" s="122"/>
    </row>
    <row r="297" spans="1:30" ht="12.75" hidden="1" customHeight="1" x14ac:dyDescent="0.2">
      <c r="A297" s="121"/>
      <c r="D297" s="117"/>
      <c r="E297" s="117"/>
      <c r="I297" s="118"/>
      <c r="J297" s="13"/>
      <c r="K297" s="270"/>
      <c r="L297" s="57"/>
      <c r="M297" s="119"/>
      <c r="N297" s="57"/>
      <c r="O297" s="57"/>
      <c r="P297" s="57"/>
      <c r="Q297" s="57"/>
      <c r="R297" s="57"/>
      <c r="S297" s="119"/>
      <c r="T297" s="57"/>
      <c r="AD297" s="122"/>
    </row>
    <row r="298" spans="1:30" ht="12.75" hidden="1" customHeight="1" x14ac:dyDescent="0.2">
      <c r="A298" s="121"/>
      <c r="D298" s="117"/>
      <c r="E298" s="117"/>
      <c r="I298" s="118"/>
      <c r="J298" s="13"/>
      <c r="K298" s="270"/>
      <c r="L298" s="57"/>
      <c r="M298" s="119"/>
      <c r="N298" s="57"/>
      <c r="O298" s="57"/>
      <c r="P298" s="57"/>
      <c r="Q298" s="57"/>
      <c r="R298" s="57"/>
      <c r="S298" s="119"/>
      <c r="T298" s="57"/>
      <c r="AD298" s="122"/>
    </row>
    <row r="299" spans="1:30" ht="12.75" hidden="1" customHeight="1" x14ac:dyDescent="0.2">
      <c r="A299" s="121"/>
      <c r="D299" s="117"/>
      <c r="E299" s="117"/>
      <c r="I299" s="118"/>
      <c r="J299" s="13"/>
      <c r="K299" s="270"/>
      <c r="L299" s="57"/>
      <c r="M299" s="119"/>
      <c r="N299" s="57"/>
      <c r="O299" s="57"/>
      <c r="P299" s="57"/>
      <c r="Q299" s="57"/>
      <c r="R299" s="57"/>
      <c r="S299" s="119"/>
      <c r="T299" s="57"/>
      <c r="AD299" s="122"/>
    </row>
    <row r="300" spans="1:30" ht="12.75" hidden="1" customHeight="1" x14ac:dyDescent="0.2">
      <c r="A300" s="121"/>
      <c r="D300" s="117"/>
      <c r="E300" s="117"/>
      <c r="I300" s="118"/>
      <c r="J300" s="13"/>
      <c r="K300" s="270"/>
      <c r="L300" s="57"/>
      <c r="M300" s="119"/>
      <c r="N300" s="57"/>
      <c r="O300" s="57"/>
      <c r="P300" s="57"/>
      <c r="Q300" s="57"/>
      <c r="R300" s="57"/>
      <c r="S300" s="119"/>
      <c r="T300" s="57"/>
      <c r="AD300" s="122"/>
    </row>
    <row r="301" spans="1:30" ht="12.75" hidden="1" customHeight="1" x14ac:dyDescent="0.2">
      <c r="A301" s="121"/>
      <c r="D301" s="117"/>
      <c r="E301" s="117"/>
      <c r="I301" s="118"/>
      <c r="J301" s="13"/>
      <c r="K301" s="270"/>
      <c r="L301" s="57"/>
      <c r="M301" s="119"/>
      <c r="N301" s="57"/>
      <c r="O301" s="57"/>
      <c r="P301" s="57"/>
      <c r="Q301" s="57"/>
      <c r="R301" s="57"/>
      <c r="S301" s="119"/>
      <c r="T301" s="57"/>
      <c r="AD301" s="122"/>
    </row>
    <row r="302" spans="1:30" ht="12.75" hidden="1" customHeight="1" x14ac:dyDescent="0.2">
      <c r="A302" s="121"/>
      <c r="D302" s="117"/>
      <c r="E302" s="117"/>
      <c r="I302" s="118"/>
      <c r="J302" s="13"/>
      <c r="K302" s="270"/>
      <c r="L302" s="57"/>
      <c r="M302" s="119"/>
      <c r="N302" s="57"/>
      <c r="O302" s="57"/>
      <c r="P302" s="57"/>
      <c r="Q302" s="57"/>
      <c r="R302" s="57"/>
      <c r="S302" s="119"/>
      <c r="T302" s="57"/>
      <c r="AD302" s="122"/>
    </row>
    <row r="303" spans="1:30" ht="12.75" hidden="1" customHeight="1" x14ac:dyDescent="0.2">
      <c r="A303" s="121"/>
      <c r="D303" s="117"/>
      <c r="E303" s="117"/>
      <c r="I303" s="118"/>
      <c r="J303" s="13"/>
      <c r="K303" s="270"/>
      <c r="L303" s="57"/>
      <c r="M303" s="119"/>
      <c r="N303" s="57"/>
      <c r="O303" s="57"/>
      <c r="P303" s="57"/>
      <c r="Q303" s="57"/>
      <c r="R303" s="57"/>
      <c r="S303" s="119"/>
      <c r="T303" s="57"/>
      <c r="AD303" s="122"/>
    </row>
    <row r="304" spans="1:30" ht="12.75" hidden="1" customHeight="1" x14ac:dyDescent="0.2">
      <c r="A304" s="121"/>
      <c r="D304" s="117"/>
      <c r="E304" s="117"/>
      <c r="I304" s="118"/>
      <c r="J304" s="13"/>
      <c r="K304" s="270"/>
      <c r="L304" s="57"/>
      <c r="M304" s="119"/>
      <c r="N304" s="57"/>
      <c r="O304" s="57"/>
      <c r="P304" s="57"/>
      <c r="Q304" s="57"/>
      <c r="R304" s="57"/>
      <c r="S304" s="119"/>
      <c r="T304" s="57"/>
      <c r="AD304" s="122"/>
    </row>
    <row r="305" spans="1:30" ht="12.75" hidden="1" customHeight="1" x14ac:dyDescent="0.2">
      <c r="A305" s="121"/>
      <c r="D305" s="117"/>
      <c r="E305" s="117"/>
      <c r="I305" s="118"/>
      <c r="J305" s="13"/>
      <c r="K305" s="270"/>
      <c r="L305" s="57"/>
      <c r="M305" s="119"/>
      <c r="N305" s="57"/>
      <c r="O305" s="57"/>
      <c r="P305" s="57"/>
      <c r="Q305" s="57"/>
      <c r="R305" s="57"/>
      <c r="S305" s="119"/>
      <c r="T305" s="57"/>
      <c r="AD305" s="122"/>
    </row>
    <row r="306" spans="1:30" ht="12.75" hidden="1" customHeight="1" x14ac:dyDescent="0.2">
      <c r="A306" s="121"/>
      <c r="D306" s="117"/>
      <c r="E306" s="117"/>
      <c r="I306" s="118"/>
      <c r="J306" s="13"/>
      <c r="K306" s="270"/>
      <c r="L306" s="57"/>
      <c r="M306" s="119"/>
      <c r="N306" s="57"/>
      <c r="O306" s="57"/>
      <c r="P306" s="57"/>
      <c r="Q306" s="57"/>
      <c r="R306" s="57"/>
      <c r="S306" s="119"/>
      <c r="T306" s="57"/>
      <c r="AD306" s="122"/>
    </row>
    <row r="307" spans="1:30" ht="12.75" hidden="1" customHeight="1" x14ac:dyDescent="0.2">
      <c r="A307" s="121"/>
      <c r="D307" s="117"/>
      <c r="E307" s="117"/>
      <c r="I307" s="118"/>
      <c r="J307" s="13"/>
      <c r="K307" s="270"/>
      <c r="L307" s="57"/>
      <c r="M307" s="119"/>
      <c r="N307" s="57"/>
      <c r="O307" s="57"/>
      <c r="P307" s="57"/>
      <c r="Q307" s="57"/>
      <c r="R307" s="57"/>
      <c r="S307" s="119"/>
      <c r="T307" s="57"/>
      <c r="AD307" s="122"/>
    </row>
    <row r="308" spans="1:30" ht="12.75" hidden="1" customHeight="1" x14ac:dyDescent="0.2">
      <c r="A308" s="121"/>
      <c r="D308" s="117"/>
      <c r="E308" s="117"/>
      <c r="I308" s="118"/>
      <c r="J308" s="13"/>
      <c r="K308" s="270"/>
      <c r="L308" s="57"/>
      <c r="M308" s="119"/>
      <c r="N308" s="57"/>
      <c r="O308" s="57"/>
      <c r="P308" s="57"/>
      <c r="Q308" s="57"/>
      <c r="R308" s="57"/>
      <c r="S308" s="119"/>
      <c r="T308" s="57"/>
      <c r="AD308" s="122"/>
    </row>
    <row r="309" spans="1:30" ht="12.75" hidden="1" customHeight="1" x14ac:dyDescent="0.2">
      <c r="A309" s="121"/>
      <c r="D309" s="117"/>
      <c r="E309" s="117"/>
      <c r="I309" s="118"/>
      <c r="J309" s="13"/>
      <c r="K309" s="270"/>
      <c r="L309" s="57"/>
      <c r="M309" s="119"/>
      <c r="N309" s="57"/>
      <c r="O309" s="57"/>
      <c r="P309" s="57"/>
      <c r="Q309" s="57"/>
      <c r="R309" s="57"/>
      <c r="S309" s="119"/>
      <c r="T309" s="57"/>
      <c r="AD309" s="122"/>
    </row>
    <row r="310" spans="1:30" ht="12.75" hidden="1" customHeight="1" x14ac:dyDescent="0.2">
      <c r="A310" s="121"/>
      <c r="D310" s="117"/>
      <c r="E310" s="117"/>
      <c r="I310" s="118"/>
      <c r="J310" s="13"/>
      <c r="K310" s="270"/>
      <c r="L310" s="57"/>
      <c r="M310" s="119"/>
      <c r="N310" s="57"/>
      <c r="O310" s="57"/>
      <c r="P310" s="57"/>
      <c r="Q310" s="57"/>
      <c r="R310" s="57"/>
      <c r="S310" s="119"/>
      <c r="T310" s="57"/>
      <c r="AD310" s="122"/>
    </row>
    <row r="311" spans="1:30" ht="12.75" hidden="1" customHeight="1" x14ac:dyDescent="0.2">
      <c r="A311" s="121"/>
      <c r="D311" s="117"/>
      <c r="E311" s="117"/>
      <c r="I311" s="118"/>
      <c r="J311" s="13"/>
      <c r="K311" s="270"/>
      <c r="L311" s="57"/>
      <c r="M311" s="119"/>
      <c r="N311" s="57"/>
      <c r="O311" s="57"/>
      <c r="P311" s="57"/>
      <c r="Q311" s="57"/>
      <c r="R311" s="57"/>
      <c r="S311" s="119"/>
      <c r="T311" s="57"/>
      <c r="AD311" s="122"/>
    </row>
    <row r="312" spans="1:30" ht="12.75" hidden="1" customHeight="1" x14ac:dyDescent="0.2">
      <c r="A312" s="121"/>
      <c r="D312" s="117"/>
      <c r="E312" s="117"/>
      <c r="I312" s="118"/>
      <c r="J312" s="13"/>
      <c r="K312" s="270"/>
      <c r="L312" s="57"/>
      <c r="M312" s="119"/>
      <c r="N312" s="57"/>
      <c r="O312" s="57"/>
      <c r="P312" s="57"/>
      <c r="Q312" s="57"/>
      <c r="R312" s="57"/>
      <c r="S312" s="119"/>
      <c r="T312" s="57"/>
      <c r="AD312" s="122"/>
    </row>
    <row r="313" spans="1:30" ht="12.75" hidden="1" customHeight="1" x14ac:dyDescent="0.2">
      <c r="A313" s="121"/>
      <c r="D313" s="117"/>
      <c r="E313" s="117"/>
      <c r="I313" s="118"/>
      <c r="J313" s="13"/>
      <c r="K313" s="270"/>
      <c r="L313" s="57"/>
      <c r="M313" s="119"/>
      <c r="N313" s="57"/>
      <c r="O313" s="57"/>
      <c r="P313" s="57"/>
      <c r="Q313" s="57"/>
      <c r="R313" s="57"/>
      <c r="S313" s="119"/>
      <c r="T313" s="57"/>
      <c r="AD313" s="122"/>
    </row>
    <row r="314" spans="1:30" ht="12.75" hidden="1" customHeight="1" x14ac:dyDescent="0.2">
      <c r="A314" s="121"/>
      <c r="D314" s="117"/>
      <c r="E314" s="117"/>
      <c r="I314" s="118"/>
      <c r="J314" s="13"/>
      <c r="K314" s="270"/>
      <c r="L314" s="57"/>
      <c r="M314" s="119"/>
      <c r="N314" s="57"/>
      <c r="O314" s="57"/>
      <c r="P314" s="57"/>
      <c r="Q314" s="57"/>
      <c r="R314" s="57"/>
      <c r="S314" s="119"/>
      <c r="T314" s="57"/>
      <c r="AD314" s="122"/>
    </row>
    <row r="315" spans="1:30" ht="12.75" hidden="1" customHeight="1" x14ac:dyDescent="0.2">
      <c r="A315" s="121"/>
      <c r="D315" s="117"/>
      <c r="E315" s="117"/>
      <c r="I315" s="118"/>
      <c r="J315" s="13"/>
      <c r="K315" s="270"/>
      <c r="L315" s="57"/>
      <c r="M315" s="119"/>
      <c r="N315" s="57"/>
      <c r="O315" s="57"/>
      <c r="P315" s="57"/>
      <c r="Q315" s="57"/>
      <c r="R315" s="57"/>
      <c r="S315" s="119"/>
      <c r="T315" s="57"/>
      <c r="AD315" s="122"/>
    </row>
    <row r="316" spans="1:30" ht="12.75" hidden="1" customHeight="1" x14ac:dyDescent="0.2">
      <c r="A316" s="121"/>
      <c r="D316" s="117"/>
      <c r="E316" s="117"/>
      <c r="I316" s="118"/>
      <c r="J316" s="13"/>
      <c r="K316" s="270"/>
      <c r="L316" s="57"/>
      <c r="M316" s="119"/>
      <c r="N316" s="57"/>
      <c r="O316" s="57"/>
      <c r="P316" s="57"/>
      <c r="Q316" s="57"/>
      <c r="R316" s="57"/>
      <c r="S316" s="119"/>
      <c r="T316" s="57"/>
      <c r="AD316" s="122"/>
    </row>
    <row r="317" spans="1:30" ht="12.75" hidden="1" customHeight="1" x14ac:dyDescent="0.2">
      <c r="A317" s="121"/>
      <c r="D317" s="117"/>
      <c r="E317" s="117"/>
      <c r="I317" s="118"/>
      <c r="J317" s="13"/>
      <c r="K317" s="270"/>
      <c r="L317" s="57"/>
      <c r="M317" s="119"/>
      <c r="N317" s="57"/>
      <c r="O317" s="57"/>
      <c r="P317" s="57"/>
      <c r="Q317" s="57"/>
      <c r="R317" s="57"/>
      <c r="S317" s="119"/>
      <c r="T317" s="57"/>
      <c r="AD317" s="122"/>
    </row>
    <row r="318" spans="1:30" ht="12.75" hidden="1" customHeight="1" x14ac:dyDescent="0.2">
      <c r="A318" s="121"/>
      <c r="D318" s="117"/>
      <c r="E318" s="117"/>
      <c r="I318" s="118"/>
      <c r="J318" s="13"/>
      <c r="K318" s="270"/>
      <c r="L318" s="57"/>
      <c r="M318" s="119"/>
      <c r="N318" s="57"/>
      <c r="O318" s="57"/>
      <c r="P318" s="57"/>
      <c r="Q318" s="57"/>
      <c r="R318" s="57"/>
      <c r="S318" s="119"/>
      <c r="T318" s="57"/>
      <c r="AD318" s="122"/>
    </row>
    <row r="319" spans="1:30" ht="12.75" hidden="1" customHeight="1" x14ac:dyDescent="0.2">
      <c r="A319" s="121"/>
      <c r="D319" s="117"/>
      <c r="E319" s="117"/>
      <c r="I319" s="118"/>
      <c r="J319" s="13"/>
      <c r="K319" s="270"/>
      <c r="L319" s="57"/>
      <c r="M319" s="119"/>
      <c r="N319" s="57"/>
      <c r="O319" s="57"/>
      <c r="P319" s="57"/>
      <c r="Q319" s="57"/>
      <c r="R319" s="57"/>
      <c r="S319" s="119"/>
      <c r="T319" s="57"/>
      <c r="AD319" s="122"/>
    </row>
    <row r="320" spans="1:30" ht="12.75" hidden="1" customHeight="1" x14ac:dyDescent="0.2">
      <c r="A320" s="121"/>
      <c r="D320" s="117"/>
      <c r="E320" s="117"/>
      <c r="I320" s="118"/>
      <c r="J320" s="13"/>
      <c r="K320" s="270"/>
      <c r="L320" s="57"/>
      <c r="M320" s="119"/>
      <c r="N320" s="57"/>
      <c r="O320" s="57"/>
      <c r="P320" s="57"/>
      <c r="Q320" s="57"/>
      <c r="R320" s="57"/>
      <c r="S320" s="119"/>
      <c r="T320" s="57"/>
      <c r="AD320" s="122"/>
    </row>
    <row r="321" spans="1:30" ht="12.75" hidden="1" customHeight="1" x14ac:dyDescent="0.2">
      <c r="A321" s="121"/>
      <c r="D321" s="117"/>
      <c r="E321" s="117"/>
      <c r="I321" s="118"/>
      <c r="J321" s="13"/>
      <c r="K321" s="270"/>
      <c r="L321" s="57"/>
      <c r="M321" s="119"/>
      <c r="N321" s="57"/>
      <c r="O321" s="57"/>
      <c r="P321" s="57"/>
      <c r="Q321" s="57"/>
      <c r="R321" s="57"/>
      <c r="S321" s="119"/>
      <c r="T321" s="57"/>
      <c r="AD321" s="122"/>
    </row>
    <row r="322" spans="1:30" ht="12.75" hidden="1" customHeight="1" x14ac:dyDescent="0.2">
      <c r="A322" s="121"/>
      <c r="D322" s="117"/>
      <c r="E322" s="117"/>
      <c r="I322" s="118"/>
      <c r="J322" s="13"/>
      <c r="K322" s="270"/>
      <c r="L322" s="57"/>
      <c r="M322" s="119"/>
      <c r="N322" s="57"/>
      <c r="O322" s="57"/>
      <c r="P322" s="57"/>
      <c r="Q322" s="57"/>
      <c r="R322" s="57"/>
      <c r="S322" s="119"/>
      <c r="T322" s="57"/>
      <c r="AD322" s="122"/>
    </row>
    <row r="323" spans="1:30" ht="12.75" hidden="1" customHeight="1" x14ac:dyDescent="0.2">
      <c r="A323" s="121"/>
      <c r="D323" s="117"/>
      <c r="E323" s="117"/>
      <c r="I323" s="118"/>
      <c r="J323" s="13"/>
      <c r="K323" s="270"/>
      <c r="L323" s="57"/>
      <c r="M323" s="119"/>
      <c r="N323" s="57"/>
      <c r="O323" s="57"/>
      <c r="P323" s="57"/>
      <c r="Q323" s="57"/>
      <c r="R323" s="57"/>
      <c r="S323" s="119"/>
      <c r="T323" s="57"/>
      <c r="AD323" s="122"/>
    </row>
    <row r="324" spans="1:30" ht="12.75" hidden="1" customHeight="1" x14ac:dyDescent="0.2">
      <c r="A324" s="121"/>
      <c r="D324" s="117"/>
      <c r="E324" s="117"/>
      <c r="I324" s="118"/>
      <c r="J324" s="13"/>
      <c r="K324" s="270"/>
      <c r="L324" s="57"/>
      <c r="M324" s="119"/>
      <c r="N324" s="57"/>
      <c r="O324" s="57"/>
      <c r="P324" s="57"/>
      <c r="Q324" s="57"/>
      <c r="R324" s="57"/>
      <c r="S324" s="119"/>
      <c r="T324" s="57"/>
      <c r="AD324" s="122"/>
    </row>
    <row r="325" spans="1:30" ht="12.75" hidden="1" customHeight="1" x14ac:dyDescent="0.2">
      <c r="A325" s="121"/>
      <c r="D325" s="117"/>
      <c r="E325" s="117"/>
      <c r="I325" s="118"/>
      <c r="J325" s="13"/>
      <c r="K325" s="270"/>
      <c r="L325" s="57"/>
      <c r="M325" s="119"/>
      <c r="N325" s="57"/>
      <c r="O325" s="57"/>
      <c r="P325" s="57"/>
      <c r="Q325" s="57"/>
      <c r="R325" s="57"/>
      <c r="S325" s="119"/>
      <c r="T325" s="57"/>
      <c r="AD325" s="122"/>
    </row>
    <row r="326" spans="1:30" ht="12.75" hidden="1" customHeight="1" x14ac:dyDescent="0.2">
      <c r="A326" s="121"/>
      <c r="D326" s="117"/>
      <c r="E326" s="117"/>
      <c r="I326" s="118"/>
      <c r="J326" s="13"/>
      <c r="K326" s="270"/>
      <c r="L326" s="57"/>
      <c r="M326" s="119"/>
      <c r="N326" s="57"/>
      <c r="O326" s="57"/>
      <c r="P326" s="57"/>
      <c r="Q326" s="57"/>
      <c r="R326" s="57"/>
      <c r="S326" s="119"/>
      <c r="T326" s="57"/>
      <c r="AD326" s="122"/>
    </row>
    <row r="327" spans="1:30" ht="12.75" hidden="1" customHeight="1" x14ac:dyDescent="0.2">
      <c r="A327" s="121"/>
      <c r="D327" s="117"/>
      <c r="E327" s="117"/>
      <c r="I327" s="118"/>
      <c r="J327" s="13"/>
      <c r="K327" s="270"/>
      <c r="L327" s="57"/>
      <c r="M327" s="119"/>
      <c r="N327" s="57"/>
      <c r="O327" s="57"/>
      <c r="P327" s="57"/>
      <c r="Q327" s="57"/>
      <c r="R327" s="57"/>
      <c r="S327" s="119"/>
      <c r="T327" s="57"/>
      <c r="AD327" s="122"/>
    </row>
    <row r="328" spans="1:30" ht="12.75" hidden="1" customHeight="1" x14ac:dyDescent="0.2">
      <c r="A328" s="121"/>
      <c r="D328" s="117"/>
      <c r="E328" s="117"/>
      <c r="I328" s="118"/>
      <c r="J328" s="13"/>
      <c r="K328" s="270"/>
      <c r="L328" s="57"/>
      <c r="M328" s="119"/>
      <c r="N328" s="57"/>
      <c r="O328" s="57"/>
      <c r="P328" s="57"/>
      <c r="Q328" s="57"/>
      <c r="R328" s="57"/>
      <c r="S328" s="119"/>
      <c r="T328" s="57"/>
      <c r="AD328" s="122"/>
    </row>
    <row r="329" spans="1:30" ht="12.75" hidden="1" customHeight="1" x14ac:dyDescent="0.2">
      <c r="A329" s="121"/>
      <c r="D329" s="117"/>
      <c r="E329" s="117"/>
      <c r="I329" s="118"/>
      <c r="J329" s="13"/>
      <c r="K329" s="270"/>
      <c r="L329" s="57"/>
      <c r="M329" s="119"/>
      <c r="N329" s="57"/>
      <c r="O329" s="57"/>
      <c r="P329" s="57"/>
      <c r="Q329" s="57"/>
      <c r="R329" s="57"/>
      <c r="S329" s="119"/>
      <c r="T329" s="57"/>
      <c r="AD329" s="122"/>
    </row>
    <row r="330" spans="1:30" ht="12.75" hidden="1" customHeight="1" x14ac:dyDescent="0.2">
      <c r="A330" s="121"/>
      <c r="D330" s="117"/>
      <c r="E330" s="117"/>
      <c r="I330" s="118"/>
      <c r="J330" s="13"/>
      <c r="K330" s="270"/>
      <c r="L330" s="57"/>
      <c r="M330" s="119"/>
      <c r="N330" s="57"/>
      <c r="O330" s="57"/>
      <c r="P330" s="57"/>
      <c r="Q330" s="57"/>
      <c r="R330" s="57"/>
      <c r="S330" s="119"/>
      <c r="T330" s="57"/>
      <c r="AD330" s="122"/>
    </row>
    <row r="331" spans="1:30" ht="12.75" hidden="1" customHeight="1" x14ac:dyDescent="0.2">
      <c r="A331" s="121"/>
      <c r="D331" s="117"/>
      <c r="E331" s="117"/>
      <c r="I331" s="118"/>
      <c r="J331" s="13"/>
      <c r="K331" s="270"/>
      <c r="L331" s="57"/>
      <c r="M331" s="119"/>
      <c r="N331" s="57"/>
      <c r="O331" s="57"/>
      <c r="P331" s="57"/>
      <c r="Q331" s="57"/>
      <c r="R331" s="57"/>
      <c r="S331" s="119"/>
      <c r="T331" s="57"/>
      <c r="AD331" s="122"/>
    </row>
    <row r="332" spans="1:30" ht="12.75" hidden="1" customHeight="1" x14ac:dyDescent="0.2">
      <c r="A332" s="121"/>
      <c r="D332" s="117"/>
      <c r="E332" s="117"/>
      <c r="I332" s="118"/>
      <c r="J332" s="13"/>
      <c r="K332" s="270"/>
      <c r="L332" s="57"/>
      <c r="M332" s="119"/>
      <c r="N332" s="57"/>
      <c r="O332" s="57"/>
      <c r="P332" s="57"/>
      <c r="Q332" s="57"/>
      <c r="R332" s="57"/>
      <c r="S332" s="119"/>
      <c r="T332" s="57"/>
      <c r="AD332" s="122"/>
    </row>
    <row r="333" spans="1:30" ht="12.75" hidden="1" customHeight="1" x14ac:dyDescent="0.2">
      <c r="A333" s="121"/>
      <c r="D333" s="117"/>
      <c r="E333" s="117"/>
      <c r="I333" s="118"/>
      <c r="J333" s="13"/>
      <c r="K333" s="270"/>
      <c r="L333" s="57"/>
      <c r="M333" s="119"/>
      <c r="N333" s="57"/>
      <c r="O333" s="57"/>
      <c r="P333" s="57"/>
      <c r="Q333" s="57"/>
      <c r="R333" s="57"/>
      <c r="S333" s="119"/>
      <c r="T333" s="57"/>
      <c r="AD333" s="122"/>
    </row>
    <row r="334" spans="1:30" ht="12.75" hidden="1" customHeight="1" x14ac:dyDescent="0.2">
      <c r="A334" s="121"/>
      <c r="D334" s="117"/>
      <c r="E334" s="117"/>
      <c r="I334" s="118"/>
      <c r="J334" s="13"/>
      <c r="K334" s="270"/>
      <c r="L334" s="57"/>
      <c r="M334" s="119"/>
      <c r="N334" s="57"/>
      <c r="O334" s="57"/>
      <c r="P334" s="57"/>
      <c r="Q334" s="57"/>
      <c r="R334" s="57"/>
      <c r="S334" s="119"/>
      <c r="T334" s="57"/>
      <c r="AD334" s="122"/>
    </row>
    <row r="335" spans="1:30" ht="12.75" hidden="1" customHeight="1" x14ac:dyDescent="0.2">
      <c r="A335" s="121"/>
      <c r="D335" s="117"/>
      <c r="E335" s="117"/>
      <c r="I335" s="118"/>
      <c r="J335" s="13"/>
      <c r="K335" s="270"/>
      <c r="L335" s="57"/>
      <c r="M335" s="119"/>
      <c r="N335" s="57"/>
      <c r="O335" s="57"/>
      <c r="P335" s="57"/>
      <c r="Q335" s="57"/>
      <c r="R335" s="57"/>
      <c r="S335" s="119"/>
      <c r="T335" s="57"/>
      <c r="AD335" s="122"/>
    </row>
    <row r="336" spans="1:30" ht="12.75" hidden="1" customHeight="1" x14ac:dyDescent="0.2">
      <c r="A336" s="121"/>
      <c r="D336" s="117"/>
      <c r="E336" s="117"/>
      <c r="I336" s="118"/>
      <c r="J336" s="13"/>
      <c r="K336" s="270"/>
      <c r="L336" s="57"/>
      <c r="M336" s="119"/>
      <c r="N336" s="57"/>
      <c r="O336" s="57"/>
      <c r="P336" s="57"/>
      <c r="Q336" s="57"/>
      <c r="R336" s="57"/>
      <c r="S336" s="119"/>
      <c r="T336" s="57"/>
      <c r="AD336" s="122"/>
    </row>
    <row r="337" spans="1:30" ht="12.75" hidden="1" customHeight="1" x14ac:dyDescent="0.2">
      <c r="A337" s="121"/>
      <c r="D337" s="117"/>
      <c r="E337" s="117"/>
      <c r="I337" s="118"/>
      <c r="J337" s="13"/>
      <c r="K337" s="270"/>
      <c r="L337" s="57"/>
      <c r="M337" s="119"/>
      <c r="N337" s="57"/>
      <c r="O337" s="57"/>
      <c r="P337" s="57"/>
      <c r="Q337" s="57"/>
      <c r="R337" s="57"/>
      <c r="S337" s="119"/>
      <c r="T337" s="57"/>
      <c r="AD337" s="122"/>
    </row>
    <row r="338" spans="1:30" ht="12.75" hidden="1" customHeight="1" x14ac:dyDescent="0.2">
      <c r="A338" s="121"/>
      <c r="D338" s="117"/>
      <c r="E338" s="117"/>
      <c r="I338" s="118"/>
      <c r="J338" s="13"/>
      <c r="K338" s="270"/>
      <c r="L338" s="57"/>
      <c r="M338" s="119"/>
      <c r="N338" s="57"/>
      <c r="O338" s="57"/>
      <c r="P338" s="57"/>
      <c r="Q338" s="57"/>
      <c r="R338" s="57"/>
      <c r="S338" s="119"/>
      <c r="T338" s="57"/>
      <c r="AD338" s="122"/>
    </row>
    <row r="339" spans="1:30" ht="12.75" hidden="1" customHeight="1" x14ac:dyDescent="0.2">
      <c r="A339" s="121"/>
      <c r="D339" s="117"/>
      <c r="E339" s="117"/>
      <c r="I339" s="118"/>
      <c r="J339" s="13"/>
      <c r="K339" s="270"/>
      <c r="L339" s="57"/>
      <c r="M339" s="119"/>
      <c r="N339" s="57"/>
      <c r="O339" s="57"/>
      <c r="P339" s="57"/>
      <c r="Q339" s="57"/>
      <c r="R339" s="57"/>
      <c r="S339" s="119"/>
      <c r="T339" s="57"/>
      <c r="AD339" s="122"/>
    </row>
    <row r="340" spans="1:30" ht="12.75" hidden="1" customHeight="1" x14ac:dyDescent="0.2">
      <c r="A340" s="121"/>
      <c r="D340" s="117"/>
      <c r="E340" s="117"/>
      <c r="I340" s="118"/>
      <c r="J340" s="13"/>
      <c r="K340" s="270"/>
      <c r="L340" s="57"/>
      <c r="M340" s="119"/>
      <c r="N340" s="57"/>
      <c r="O340" s="57"/>
      <c r="P340" s="57"/>
      <c r="Q340" s="57"/>
      <c r="R340" s="57"/>
      <c r="S340" s="119"/>
      <c r="T340" s="57"/>
      <c r="AD340" s="122"/>
    </row>
    <row r="341" spans="1:30" ht="12.75" hidden="1" customHeight="1" x14ac:dyDescent="0.2">
      <c r="A341" s="121"/>
      <c r="D341" s="117"/>
      <c r="E341" s="117"/>
      <c r="I341" s="118"/>
      <c r="J341" s="13"/>
      <c r="K341" s="270"/>
      <c r="L341" s="57"/>
      <c r="M341" s="119"/>
      <c r="N341" s="57"/>
      <c r="O341" s="57"/>
      <c r="P341" s="57"/>
      <c r="Q341" s="57"/>
      <c r="R341" s="57"/>
      <c r="S341" s="119"/>
      <c r="T341" s="57"/>
      <c r="AD341" s="122"/>
    </row>
    <row r="342" spans="1:30" ht="12.75" hidden="1" customHeight="1" x14ac:dyDescent="0.2">
      <c r="A342" s="121"/>
      <c r="D342" s="117"/>
      <c r="E342" s="117"/>
      <c r="I342" s="118"/>
      <c r="J342" s="13"/>
      <c r="K342" s="270"/>
      <c r="L342" s="57"/>
      <c r="M342" s="119"/>
      <c r="N342" s="57"/>
      <c r="O342" s="57"/>
      <c r="P342" s="57"/>
      <c r="Q342" s="57"/>
      <c r="R342" s="57"/>
      <c r="S342" s="119"/>
      <c r="T342" s="57"/>
      <c r="AD342" s="122"/>
    </row>
    <row r="343" spans="1:30" ht="12.75" hidden="1" customHeight="1" x14ac:dyDescent="0.2">
      <c r="A343" s="121"/>
      <c r="D343" s="117"/>
      <c r="E343" s="117"/>
      <c r="I343" s="118"/>
      <c r="J343" s="13"/>
      <c r="K343" s="270"/>
      <c r="L343" s="57"/>
      <c r="M343" s="119"/>
      <c r="N343" s="57"/>
      <c r="O343" s="57"/>
      <c r="P343" s="57"/>
      <c r="Q343" s="57"/>
      <c r="R343" s="57"/>
      <c r="S343" s="119"/>
      <c r="T343" s="57"/>
      <c r="AD343" s="122"/>
    </row>
    <row r="344" spans="1:30" ht="12.75" hidden="1" customHeight="1" x14ac:dyDescent="0.2">
      <c r="A344" s="121"/>
      <c r="D344" s="117"/>
      <c r="E344" s="117"/>
      <c r="I344" s="118"/>
      <c r="J344" s="13"/>
      <c r="K344" s="270"/>
      <c r="L344" s="57"/>
      <c r="M344" s="119"/>
      <c r="N344" s="57"/>
      <c r="O344" s="57"/>
      <c r="P344" s="57"/>
      <c r="Q344" s="57"/>
      <c r="R344" s="57"/>
      <c r="S344" s="119"/>
      <c r="T344" s="57"/>
      <c r="AD344" s="122"/>
    </row>
    <row r="345" spans="1:30" ht="12.75" hidden="1" customHeight="1" x14ac:dyDescent="0.2">
      <c r="A345" s="121"/>
      <c r="D345" s="117"/>
      <c r="E345" s="117"/>
      <c r="I345" s="118"/>
      <c r="J345" s="13"/>
      <c r="K345" s="270"/>
      <c r="L345" s="57"/>
      <c r="M345" s="119"/>
      <c r="N345" s="57"/>
      <c r="O345" s="57"/>
      <c r="P345" s="57"/>
      <c r="Q345" s="57"/>
      <c r="R345" s="57"/>
      <c r="S345" s="119"/>
      <c r="T345" s="57"/>
      <c r="AD345" s="122"/>
    </row>
    <row r="346" spans="1:30" ht="12.75" hidden="1" customHeight="1" x14ac:dyDescent="0.2">
      <c r="A346" s="121"/>
      <c r="D346" s="117"/>
      <c r="E346" s="117"/>
      <c r="I346" s="118"/>
      <c r="J346" s="13"/>
      <c r="K346" s="270"/>
      <c r="L346" s="57"/>
      <c r="M346" s="119"/>
      <c r="N346" s="57"/>
      <c r="O346" s="57"/>
      <c r="P346" s="57"/>
      <c r="Q346" s="57"/>
      <c r="R346" s="57"/>
      <c r="S346" s="119"/>
      <c r="T346" s="57"/>
      <c r="AD346" s="122"/>
    </row>
    <row r="347" spans="1:30" ht="12.75" hidden="1" customHeight="1" x14ac:dyDescent="0.2">
      <c r="A347" s="121"/>
      <c r="D347" s="117"/>
      <c r="E347" s="117"/>
      <c r="I347" s="118"/>
      <c r="J347" s="13"/>
      <c r="K347" s="270"/>
      <c r="L347" s="57"/>
      <c r="M347" s="119"/>
      <c r="N347" s="57"/>
      <c r="O347" s="57"/>
      <c r="P347" s="57"/>
      <c r="Q347" s="57"/>
      <c r="R347" s="57"/>
      <c r="S347" s="119"/>
      <c r="T347" s="57"/>
      <c r="AD347" s="122"/>
    </row>
    <row r="348" spans="1:30" ht="12.75" hidden="1" customHeight="1" x14ac:dyDescent="0.2">
      <c r="A348" s="121"/>
      <c r="D348" s="117"/>
      <c r="E348" s="117"/>
      <c r="I348" s="118"/>
      <c r="J348" s="13"/>
      <c r="K348" s="270"/>
      <c r="L348" s="57"/>
      <c r="M348" s="119"/>
      <c r="N348" s="57"/>
      <c r="O348" s="57"/>
      <c r="P348" s="57"/>
      <c r="Q348" s="57"/>
      <c r="R348" s="57"/>
      <c r="S348" s="119"/>
      <c r="T348" s="57"/>
      <c r="AD348" s="122"/>
    </row>
    <row r="349" spans="1:30" ht="12.75" hidden="1" customHeight="1" x14ac:dyDescent="0.2">
      <c r="A349" s="121"/>
      <c r="D349" s="117"/>
      <c r="E349" s="117"/>
      <c r="I349" s="118"/>
      <c r="J349" s="13"/>
      <c r="K349" s="270"/>
      <c r="L349" s="57"/>
      <c r="M349" s="119"/>
      <c r="N349" s="57"/>
      <c r="O349" s="57"/>
      <c r="P349" s="57"/>
      <c r="Q349" s="57"/>
      <c r="R349" s="57"/>
      <c r="S349" s="119"/>
      <c r="T349" s="57"/>
      <c r="AD349" s="122"/>
    </row>
    <row r="350" spans="1:30" ht="12.75" hidden="1" customHeight="1" x14ac:dyDescent="0.2">
      <c r="A350" s="121"/>
      <c r="D350" s="117"/>
      <c r="E350" s="117"/>
      <c r="I350" s="118"/>
      <c r="J350" s="13"/>
      <c r="K350" s="270"/>
      <c r="L350" s="57"/>
      <c r="M350" s="119"/>
      <c r="N350" s="57"/>
      <c r="O350" s="57"/>
      <c r="P350" s="57"/>
      <c r="Q350" s="57"/>
      <c r="R350" s="57"/>
      <c r="S350" s="119"/>
      <c r="T350" s="57"/>
      <c r="AD350" s="122"/>
    </row>
    <row r="351" spans="1:30" ht="12.75" hidden="1" customHeight="1" x14ac:dyDescent="0.2">
      <c r="A351" s="121"/>
      <c r="D351" s="117"/>
      <c r="E351" s="117"/>
      <c r="I351" s="118"/>
      <c r="J351" s="13"/>
      <c r="K351" s="270"/>
      <c r="L351" s="57"/>
      <c r="M351" s="119"/>
      <c r="N351" s="57"/>
      <c r="O351" s="57"/>
      <c r="P351" s="57"/>
      <c r="Q351" s="57"/>
      <c r="R351" s="57"/>
      <c r="S351" s="119"/>
      <c r="T351" s="57"/>
      <c r="AD351" s="122"/>
    </row>
    <row r="352" spans="1:30" ht="12.75" hidden="1" customHeight="1" x14ac:dyDescent="0.2">
      <c r="A352" s="121"/>
      <c r="D352" s="117"/>
      <c r="E352" s="117"/>
      <c r="I352" s="118"/>
      <c r="J352" s="13"/>
      <c r="K352" s="270"/>
      <c r="L352" s="57"/>
      <c r="M352" s="119"/>
      <c r="N352" s="57"/>
      <c r="O352" s="57"/>
      <c r="P352" s="57"/>
      <c r="Q352" s="57"/>
      <c r="R352" s="57"/>
      <c r="S352" s="119"/>
      <c r="T352" s="57"/>
      <c r="AD352" s="122"/>
    </row>
    <row r="353" spans="1:30" ht="12.75" hidden="1" customHeight="1" x14ac:dyDescent="0.2">
      <c r="A353" s="121"/>
      <c r="D353" s="117"/>
      <c r="E353" s="117"/>
      <c r="I353" s="118"/>
      <c r="J353" s="13"/>
      <c r="K353" s="270"/>
      <c r="L353" s="57"/>
      <c r="M353" s="119"/>
      <c r="N353" s="57"/>
      <c r="O353" s="57"/>
      <c r="P353" s="57"/>
      <c r="Q353" s="57"/>
      <c r="R353" s="57"/>
      <c r="S353" s="119"/>
      <c r="T353" s="57"/>
      <c r="AD353" s="122"/>
    </row>
    <row r="354" spans="1:30" ht="12.75" hidden="1" customHeight="1" x14ac:dyDescent="0.2">
      <c r="A354" s="121"/>
      <c r="D354" s="117"/>
      <c r="E354" s="117"/>
      <c r="I354" s="118"/>
      <c r="J354" s="13"/>
      <c r="K354" s="270"/>
      <c r="L354" s="57"/>
      <c r="M354" s="119"/>
      <c r="N354" s="57"/>
      <c r="O354" s="57"/>
      <c r="P354" s="57"/>
      <c r="Q354" s="57"/>
      <c r="R354" s="57"/>
      <c r="S354" s="119"/>
      <c r="T354" s="57"/>
      <c r="AD354" s="122"/>
    </row>
    <row r="355" spans="1:30" ht="12.75" hidden="1" customHeight="1" x14ac:dyDescent="0.2">
      <c r="A355" s="121"/>
      <c r="D355" s="117"/>
      <c r="E355" s="117"/>
      <c r="I355" s="118"/>
      <c r="J355" s="13"/>
      <c r="K355" s="270"/>
      <c r="L355" s="57"/>
      <c r="M355" s="119"/>
      <c r="N355" s="57"/>
      <c r="O355" s="57"/>
      <c r="P355" s="57"/>
      <c r="Q355" s="57"/>
      <c r="R355" s="57"/>
      <c r="S355" s="119"/>
      <c r="T355" s="57"/>
      <c r="AD355" s="122"/>
    </row>
    <row r="356" spans="1:30" ht="12.75" hidden="1" customHeight="1" x14ac:dyDescent="0.2">
      <c r="A356" s="121"/>
      <c r="D356" s="117"/>
      <c r="E356" s="117"/>
      <c r="I356" s="118"/>
      <c r="J356" s="13"/>
      <c r="K356" s="270"/>
      <c r="L356" s="57"/>
      <c r="M356" s="119"/>
      <c r="N356" s="57"/>
      <c r="O356" s="57"/>
      <c r="P356" s="57"/>
      <c r="Q356" s="57"/>
      <c r="R356" s="57"/>
      <c r="S356" s="119"/>
      <c r="T356" s="57"/>
      <c r="AD356" s="122"/>
    </row>
    <row r="357" spans="1:30" ht="12.75" hidden="1" customHeight="1" x14ac:dyDescent="0.2">
      <c r="A357" s="121"/>
      <c r="D357" s="117"/>
      <c r="E357" s="117"/>
      <c r="I357" s="118"/>
      <c r="J357" s="13"/>
      <c r="K357" s="270"/>
      <c r="L357" s="57"/>
      <c r="M357" s="119"/>
      <c r="N357" s="57"/>
      <c r="O357" s="57"/>
      <c r="P357" s="57"/>
      <c r="Q357" s="57"/>
      <c r="R357" s="57"/>
      <c r="S357" s="119"/>
      <c r="T357" s="57"/>
      <c r="AD357" s="122"/>
    </row>
    <row r="358" spans="1:30" ht="12.75" hidden="1" customHeight="1" x14ac:dyDescent="0.2">
      <c r="A358" s="121"/>
      <c r="D358" s="117"/>
      <c r="E358" s="117"/>
      <c r="I358" s="118"/>
      <c r="J358" s="13"/>
      <c r="K358" s="270"/>
      <c r="L358" s="57"/>
      <c r="M358" s="119"/>
      <c r="N358" s="57"/>
      <c r="O358" s="57"/>
      <c r="P358" s="57"/>
      <c r="Q358" s="57"/>
      <c r="R358" s="57"/>
      <c r="S358" s="119"/>
      <c r="T358" s="57"/>
      <c r="AD358" s="122"/>
    </row>
    <row r="359" spans="1:30" ht="12.75" hidden="1" customHeight="1" x14ac:dyDescent="0.2">
      <c r="A359" s="121"/>
      <c r="D359" s="117"/>
      <c r="E359" s="117"/>
      <c r="I359" s="118"/>
      <c r="J359" s="13"/>
      <c r="K359" s="270"/>
      <c r="L359" s="57"/>
      <c r="M359" s="119"/>
      <c r="N359" s="57"/>
      <c r="O359" s="57"/>
      <c r="P359" s="57"/>
      <c r="Q359" s="57"/>
      <c r="R359" s="57"/>
      <c r="S359" s="119"/>
      <c r="T359" s="57"/>
      <c r="AD359" s="122"/>
    </row>
    <row r="360" spans="1:30" ht="12.75" hidden="1" customHeight="1" x14ac:dyDescent="0.2">
      <c r="A360" s="121"/>
      <c r="D360" s="117"/>
      <c r="E360" s="117"/>
      <c r="I360" s="118"/>
      <c r="J360" s="13"/>
      <c r="K360" s="270"/>
      <c r="L360" s="57"/>
      <c r="M360" s="119"/>
      <c r="N360" s="57"/>
      <c r="O360" s="57"/>
      <c r="P360" s="57"/>
      <c r="Q360" s="57"/>
      <c r="R360" s="57"/>
      <c r="S360" s="119"/>
      <c r="T360" s="57"/>
      <c r="AD360" s="122"/>
    </row>
    <row r="361" spans="1:30" ht="12.75" hidden="1" customHeight="1" x14ac:dyDescent="0.2">
      <c r="A361" s="121"/>
      <c r="D361" s="117"/>
      <c r="E361" s="117"/>
      <c r="I361" s="118"/>
      <c r="J361" s="13"/>
      <c r="K361" s="270"/>
      <c r="L361" s="57"/>
      <c r="M361" s="119"/>
      <c r="N361" s="57"/>
      <c r="O361" s="57"/>
      <c r="P361" s="57"/>
      <c r="Q361" s="57"/>
      <c r="R361" s="57"/>
      <c r="S361" s="119"/>
      <c r="T361" s="57"/>
      <c r="AD361" s="122"/>
    </row>
    <row r="362" spans="1:30" ht="12.75" hidden="1" customHeight="1" x14ac:dyDescent="0.2">
      <c r="A362" s="121"/>
      <c r="D362" s="117"/>
      <c r="E362" s="117"/>
      <c r="I362" s="118"/>
      <c r="J362" s="13"/>
      <c r="K362" s="270"/>
      <c r="L362" s="57"/>
      <c r="M362" s="119"/>
      <c r="N362" s="57"/>
      <c r="O362" s="57"/>
      <c r="P362" s="57"/>
      <c r="Q362" s="57"/>
      <c r="R362" s="57"/>
      <c r="S362" s="119"/>
      <c r="T362" s="57"/>
      <c r="AD362" s="122"/>
    </row>
    <row r="363" spans="1:30" ht="12.75" hidden="1" customHeight="1" x14ac:dyDescent="0.2">
      <c r="A363" s="121"/>
      <c r="D363" s="117"/>
      <c r="E363" s="117"/>
      <c r="I363" s="118"/>
      <c r="J363" s="13"/>
      <c r="K363" s="270"/>
      <c r="L363" s="57"/>
      <c r="M363" s="119"/>
      <c r="N363" s="57"/>
      <c r="O363" s="57"/>
      <c r="P363" s="57"/>
      <c r="Q363" s="57"/>
      <c r="R363" s="57"/>
      <c r="S363" s="119"/>
      <c r="T363" s="57"/>
      <c r="AD363" s="122"/>
    </row>
    <row r="364" spans="1:30" ht="12.75" hidden="1" customHeight="1" x14ac:dyDescent="0.2">
      <c r="A364" s="121"/>
      <c r="D364" s="117"/>
      <c r="E364" s="117"/>
      <c r="I364" s="118"/>
      <c r="J364" s="13"/>
      <c r="K364" s="270"/>
      <c r="L364" s="57"/>
      <c r="M364" s="119"/>
      <c r="N364" s="57"/>
      <c r="O364" s="57"/>
      <c r="P364" s="57"/>
      <c r="Q364" s="57"/>
      <c r="R364" s="57"/>
      <c r="S364" s="119"/>
      <c r="T364" s="57"/>
      <c r="AD364" s="122"/>
    </row>
    <row r="365" spans="1:30" ht="12.75" hidden="1" customHeight="1" x14ac:dyDescent="0.2">
      <c r="A365" s="121"/>
      <c r="D365" s="117"/>
      <c r="E365" s="117"/>
      <c r="I365" s="118"/>
      <c r="J365" s="13"/>
      <c r="K365" s="270"/>
      <c r="L365" s="57"/>
      <c r="M365" s="119"/>
      <c r="N365" s="57"/>
      <c r="O365" s="57"/>
      <c r="P365" s="57"/>
      <c r="Q365" s="57"/>
      <c r="R365" s="57"/>
      <c r="S365" s="119"/>
      <c r="T365" s="57"/>
      <c r="AD365" s="122"/>
    </row>
    <row r="366" spans="1:30" ht="12.75" hidden="1" customHeight="1" x14ac:dyDescent="0.2">
      <c r="A366" s="121"/>
      <c r="D366" s="117"/>
      <c r="E366" s="117"/>
      <c r="I366" s="118"/>
      <c r="J366" s="13"/>
      <c r="K366" s="270"/>
      <c r="L366" s="57"/>
      <c r="M366" s="119"/>
      <c r="N366" s="57"/>
      <c r="O366" s="57"/>
      <c r="P366" s="57"/>
      <c r="Q366" s="57"/>
      <c r="R366" s="57"/>
      <c r="S366" s="119"/>
      <c r="T366" s="57"/>
      <c r="AD366" s="122"/>
    </row>
    <row r="367" spans="1:30" ht="12.75" hidden="1" customHeight="1" x14ac:dyDescent="0.2">
      <c r="A367" s="121"/>
      <c r="D367" s="117"/>
      <c r="E367" s="117"/>
      <c r="I367" s="118"/>
      <c r="J367" s="13"/>
      <c r="K367" s="270"/>
      <c r="L367" s="57"/>
      <c r="M367" s="119"/>
      <c r="N367" s="57"/>
      <c r="O367" s="57"/>
      <c r="P367" s="57"/>
      <c r="Q367" s="57"/>
      <c r="R367" s="57"/>
      <c r="S367" s="119"/>
      <c r="T367" s="57"/>
      <c r="AD367" s="122"/>
    </row>
    <row r="368" spans="1:30" ht="12.75" hidden="1" customHeight="1" x14ac:dyDescent="0.2">
      <c r="A368" s="121"/>
      <c r="D368" s="117"/>
      <c r="E368" s="117"/>
      <c r="I368" s="118"/>
      <c r="J368" s="13"/>
      <c r="K368" s="270"/>
      <c r="L368" s="57"/>
      <c r="M368" s="119"/>
      <c r="N368" s="57"/>
      <c r="O368" s="57"/>
      <c r="P368" s="57"/>
      <c r="Q368" s="57"/>
      <c r="R368" s="57"/>
      <c r="S368" s="119"/>
      <c r="T368" s="57"/>
      <c r="AD368" s="122"/>
    </row>
    <row r="369" spans="1:30" ht="12.75" hidden="1" customHeight="1" x14ac:dyDescent="0.2">
      <c r="A369" s="121"/>
      <c r="D369" s="117"/>
      <c r="E369" s="117"/>
      <c r="I369" s="118"/>
      <c r="J369" s="13"/>
      <c r="K369" s="270"/>
      <c r="L369" s="57"/>
      <c r="M369" s="119"/>
      <c r="N369" s="57"/>
      <c r="O369" s="57"/>
      <c r="P369" s="57"/>
      <c r="Q369" s="57"/>
      <c r="R369" s="57"/>
      <c r="S369" s="119"/>
      <c r="T369" s="57"/>
      <c r="AD369" s="122"/>
    </row>
    <row r="370" spans="1:30" ht="12.75" hidden="1" customHeight="1" x14ac:dyDescent="0.2">
      <c r="A370" s="121"/>
      <c r="D370" s="117"/>
      <c r="E370" s="117"/>
      <c r="I370" s="118"/>
      <c r="J370" s="13"/>
      <c r="K370" s="270"/>
      <c r="L370" s="57"/>
      <c r="M370" s="119"/>
      <c r="N370" s="57"/>
      <c r="O370" s="57"/>
      <c r="P370" s="57"/>
      <c r="Q370" s="57"/>
      <c r="R370" s="57"/>
      <c r="S370" s="119"/>
      <c r="T370" s="57"/>
      <c r="AD370" s="122"/>
    </row>
    <row r="371" spans="1:30" ht="12.75" hidden="1" customHeight="1" x14ac:dyDescent="0.2">
      <c r="A371" s="121"/>
      <c r="D371" s="117"/>
      <c r="E371" s="117"/>
      <c r="I371" s="118"/>
      <c r="J371" s="13"/>
      <c r="K371" s="270"/>
      <c r="L371" s="57"/>
      <c r="M371" s="119"/>
      <c r="N371" s="57"/>
      <c r="O371" s="57"/>
      <c r="P371" s="57"/>
      <c r="Q371" s="57"/>
      <c r="R371" s="57"/>
      <c r="S371" s="119"/>
      <c r="T371" s="57"/>
      <c r="AD371" s="122"/>
    </row>
    <row r="372" spans="1:30" ht="12.75" hidden="1" customHeight="1" x14ac:dyDescent="0.2">
      <c r="A372" s="121"/>
      <c r="D372" s="117"/>
      <c r="E372" s="117"/>
      <c r="I372" s="118"/>
      <c r="J372" s="13"/>
      <c r="K372" s="270"/>
      <c r="L372" s="57"/>
      <c r="M372" s="119"/>
      <c r="N372" s="57"/>
      <c r="O372" s="57"/>
      <c r="P372" s="57"/>
      <c r="Q372" s="57"/>
      <c r="R372" s="57"/>
      <c r="S372" s="119"/>
      <c r="T372" s="57"/>
      <c r="AD372" s="122"/>
    </row>
    <row r="373" spans="1:30" ht="12.75" hidden="1" customHeight="1" x14ac:dyDescent="0.2">
      <c r="A373" s="121"/>
      <c r="D373" s="117"/>
      <c r="E373" s="117"/>
      <c r="I373" s="118"/>
      <c r="J373" s="13"/>
      <c r="K373" s="270"/>
      <c r="L373" s="57"/>
      <c r="M373" s="119"/>
      <c r="N373" s="57"/>
      <c r="O373" s="57"/>
      <c r="P373" s="57"/>
      <c r="Q373" s="57"/>
      <c r="R373" s="57"/>
      <c r="S373" s="119"/>
      <c r="T373" s="57"/>
      <c r="AD373" s="122"/>
    </row>
    <row r="374" spans="1:30" ht="12.75" hidden="1" customHeight="1" x14ac:dyDescent="0.2">
      <c r="A374" s="121"/>
      <c r="D374" s="117"/>
      <c r="E374" s="117"/>
      <c r="I374" s="118"/>
      <c r="J374" s="13"/>
      <c r="K374" s="270"/>
      <c r="L374" s="57"/>
      <c r="M374" s="119"/>
      <c r="N374" s="57"/>
      <c r="O374" s="57"/>
      <c r="P374" s="57"/>
      <c r="Q374" s="57"/>
      <c r="R374" s="57"/>
      <c r="S374" s="119"/>
      <c r="T374" s="57"/>
      <c r="AD374" s="122"/>
    </row>
    <row r="375" spans="1:30" ht="12.75" hidden="1" customHeight="1" x14ac:dyDescent="0.2">
      <c r="A375" s="121"/>
      <c r="D375" s="117"/>
      <c r="E375" s="117"/>
      <c r="I375" s="118"/>
      <c r="J375" s="13"/>
      <c r="K375" s="270"/>
      <c r="L375" s="57"/>
      <c r="M375" s="119"/>
      <c r="N375" s="57"/>
      <c r="O375" s="57"/>
      <c r="P375" s="57"/>
      <c r="Q375" s="57"/>
      <c r="R375" s="57"/>
      <c r="S375" s="119"/>
      <c r="T375" s="57"/>
      <c r="AD375" s="122"/>
    </row>
    <row r="376" spans="1:30" ht="12.75" hidden="1" customHeight="1" x14ac:dyDescent="0.2">
      <c r="A376" s="121"/>
      <c r="D376" s="117"/>
      <c r="E376" s="117"/>
      <c r="I376" s="118"/>
      <c r="J376" s="13"/>
      <c r="K376" s="270"/>
      <c r="L376" s="57"/>
      <c r="M376" s="119"/>
      <c r="N376" s="57"/>
      <c r="O376" s="57"/>
      <c r="P376" s="57"/>
      <c r="Q376" s="57"/>
      <c r="R376" s="57"/>
      <c r="S376" s="119"/>
      <c r="T376" s="57"/>
      <c r="AD376" s="122"/>
    </row>
    <row r="377" spans="1:30" ht="12.75" hidden="1" customHeight="1" x14ac:dyDescent="0.2">
      <c r="A377" s="121"/>
      <c r="D377" s="117"/>
      <c r="E377" s="117"/>
      <c r="I377" s="118"/>
      <c r="J377" s="13"/>
      <c r="K377" s="270"/>
      <c r="L377" s="57"/>
      <c r="M377" s="119"/>
      <c r="N377" s="57"/>
      <c r="O377" s="57"/>
      <c r="P377" s="57"/>
      <c r="Q377" s="57"/>
      <c r="R377" s="57"/>
      <c r="S377" s="119"/>
      <c r="T377" s="57"/>
      <c r="AD377" s="122"/>
    </row>
    <row r="378" spans="1:30" ht="12.75" hidden="1" customHeight="1" x14ac:dyDescent="0.2">
      <c r="A378" s="121"/>
      <c r="D378" s="117"/>
      <c r="E378" s="117"/>
      <c r="I378" s="118"/>
      <c r="J378" s="13"/>
      <c r="K378" s="270"/>
      <c r="L378" s="57"/>
      <c r="M378" s="119"/>
      <c r="N378" s="57"/>
      <c r="O378" s="57"/>
      <c r="P378" s="57"/>
      <c r="Q378" s="57"/>
      <c r="R378" s="57"/>
      <c r="S378" s="119"/>
      <c r="T378" s="57"/>
      <c r="AD378" s="122"/>
    </row>
    <row r="379" spans="1:30" ht="12.75" hidden="1" customHeight="1" x14ac:dyDescent="0.2">
      <c r="A379" s="121"/>
      <c r="D379" s="117"/>
      <c r="E379" s="117"/>
      <c r="I379" s="118"/>
      <c r="J379" s="13"/>
      <c r="K379" s="270"/>
      <c r="L379" s="57"/>
      <c r="M379" s="119"/>
      <c r="N379" s="57"/>
      <c r="O379" s="57"/>
      <c r="P379" s="57"/>
      <c r="Q379" s="57"/>
      <c r="R379" s="57"/>
      <c r="S379" s="119"/>
      <c r="T379" s="57"/>
      <c r="AD379" s="122"/>
    </row>
    <row r="380" spans="1:30" ht="12.75" hidden="1" customHeight="1" x14ac:dyDescent="0.2">
      <c r="A380" s="121"/>
      <c r="D380" s="117"/>
      <c r="E380" s="117"/>
      <c r="I380" s="118"/>
      <c r="J380" s="13"/>
      <c r="K380" s="270"/>
      <c r="L380" s="57"/>
      <c r="M380" s="119"/>
      <c r="N380" s="57"/>
      <c r="O380" s="57"/>
      <c r="P380" s="57"/>
      <c r="Q380" s="57"/>
      <c r="R380" s="57"/>
      <c r="S380" s="119"/>
      <c r="T380" s="57"/>
      <c r="AD380" s="122"/>
    </row>
    <row r="381" spans="1:30" ht="12.75" hidden="1" customHeight="1" x14ac:dyDescent="0.2">
      <c r="A381" s="121"/>
      <c r="D381" s="117"/>
      <c r="E381" s="117"/>
      <c r="I381" s="118"/>
      <c r="J381" s="13"/>
      <c r="K381" s="270"/>
      <c r="L381" s="57"/>
      <c r="M381" s="119"/>
      <c r="N381" s="57"/>
      <c r="O381" s="57"/>
      <c r="P381" s="57"/>
      <c r="Q381" s="57"/>
      <c r="R381" s="57"/>
      <c r="S381" s="119"/>
      <c r="T381" s="57"/>
      <c r="AD381" s="122"/>
    </row>
    <row r="382" spans="1:30" ht="12.75" hidden="1" customHeight="1" x14ac:dyDescent="0.2">
      <c r="A382" s="121"/>
      <c r="D382" s="117"/>
      <c r="E382" s="117"/>
      <c r="I382" s="118"/>
      <c r="J382" s="13"/>
      <c r="K382" s="270"/>
      <c r="L382" s="57"/>
      <c r="M382" s="119"/>
      <c r="N382" s="57"/>
      <c r="O382" s="57"/>
      <c r="P382" s="57"/>
      <c r="Q382" s="57"/>
      <c r="R382" s="57"/>
      <c r="S382" s="119"/>
      <c r="T382" s="57"/>
      <c r="AD382" s="122"/>
    </row>
    <row r="383" spans="1:30" ht="12.75" hidden="1" customHeight="1" x14ac:dyDescent="0.2">
      <c r="A383" s="121"/>
      <c r="D383" s="117"/>
      <c r="E383" s="117"/>
      <c r="I383" s="118"/>
      <c r="J383" s="13"/>
      <c r="K383" s="270"/>
      <c r="L383" s="57"/>
      <c r="M383" s="119"/>
      <c r="N383" s="57"/>
      <c r="O383" s="57"/>
      <c r="P383" s="57"/>
      <c r="Q383" s="57"/>
      <c r="R383" s="57"/>
      <c r="S383" s="119"/>
      <c r="T383" s="57"/>
      <c r="AD383" s="122"/>
    </row>
    <row r="384" spans="1:30" ht="12.75" hidden="1" customHeight="1" x14ac:dyDescent="0.2">
      <c r="A384" s="121"/>
      <c r="D384" s="117"/>
      <c r="E384" s="117"/>
      <c r="I384" s="118"/>
      <c r="J384" s="13"/>
      <c r="K384" s="270"/>
      <c r="L384" s="57"/>
      <c r="M384" s="119"/>
      <c r="N384" s="57"/>
      <c r="O384" s="57"/>
      <c r="P384" s="57"/>
      <c r="Q384" s="57"/>
      <c r="R384" s="57"/>
      <c r="S384" s="119"/>
      <c r="T384" s="57"/>
      <c r="AD384" s="122"/>
    </row>
    <row r="385" spans="1:30" ht="12.75" hidden="1" customHeight="1" x14ac:dyDescent="0.2">
      <c r="A385" s="121"/>
      <c r="D385" s="117"/>
      <c r="E385" s="117"/>
      <c r="I385" s="118"/>
      <c r="J385" s="13"/>
      <c r="K385" s="270"/>
      <c r="L385" s="57"/>
      <c r="M385" s="119"/>
      <c r="N385" s="57"/>
      <c r="O385" s="57"/>
      <c r="P385" s="57"/>
      <c r="Q385" s="57"/>
      <c r="R385" s="57"/>
      <c r="S385" s="119"/>
      <c r="T385" s="57"/>
      <c r="AD385" s="122"/>
    </row>
    <row r="386" spans="1:30" ht="12.75" hidden="1" customHeight="1" x14ac:dyDescent="0.2">
      <c r="A386" s="121"/>
      <c r="D386" s="117"/>
      <c r="E386" s="117"/>
      <c r="I386" s="118"/>
      <c r="J386" s="13"/>
      <c r="K386" s="270"/>
      <c r="L386" s="57"/>
      <c r="M386" s="119"/>
      <c r="N386" s="57"/>
      <c r="O386" s="57"/>
      <c r="P386" s="57"/>
      <c r="Q386" s="57"/>
      <c r="R386" s="57"/>
      <c r="S386" s="119"/>
      <c r="T386" s="57"/>
      <c r="AD386" s="122"/>
    </row>
    <row r="387" spans="1:30" ht="12.75" hidden="1" customHeight="1" x14ac:dyDescent="0.2">
      <c r="A387" s="121"/>
      <c r="D387" s="117"/>
      <c r="E387" s="117"/>
      <c r="I387" s="118"/>
      <c r="J387" s="13"/>
      <c r="K387" s="270"/>
      <c r="L387" s="57"/>
      <c r="M387" s="119"/>
      <c r="N387" s="57"/>
      <c r="O387" s="57"/>
      <c r="P387" s="57"/>
      <c r="Q387" s="57"/>
      <c r="R387" s="57"/>
      <c r="S387" s="119"/>
      <c r="T387" s="57"/>
      <c r="AD387" s="122"/>
    </row>
    <row r="388" spans="1:30" ht="12.75" hidden="1" customHeight="1" x14ac:dyDescent="0.2">
      <c r="A388" s="121"/>
      <c r="D388" s="117"/>
      <c r="E388" s="117"/>
      <c r="I388" s="118"/>
      <c r="J388" s="13"/>
      <c r="K388" s="270"/>
      <c r="L388" s="57"/>
      <c r="M388" s="119"/>
      <c r="N388" s="57"/>
      <c r="O388" s="57"/>
      <c r="P388" s="57"/>
      <c r="Q388" s="57"/>
      <c r="R388" s="57"/>
      <c r="S388" s="119"/>
      <c r="T388" s="57"/>
      <c r="AD388" s="122"/>
    </row>
    <row r="389" spans="1:30" ht="12.75" hidden="1" customHeight="1" x14ac:dyDescent="0.2">
      <c r="A389" s="121"/>
      <c r="D389" s="117"/>
      <c r="E389" s="117"/>
      <c r="I389" s="118"/>
      <c r="J389" s="13"/>
      <c r="K389" s="270"/>
      <c r="L389" s="57"/>
      <c r="M389" s="119"/>
      <c r="N389" s="57"/>
      <c r="O389" s="57"/>
      <c r="P389" s="57"/>
      <c r="Q389" s="57"/>
      <c r="R389" s="57"/>
      <c r="S389" s="119"/>
      <c r="T389" s="57"/>
      <c r="AD389" s="122"/>
    </row>
    <row r="390" spans="1:30" ht="12.75" hidden="1" customHeight="1" x14ac:dyDescent="0.2">
      <c r="A390" s="121"/>
      <c r="D390" s="117"/>
      <c r="E390" s="117"/>
      <c r="I390" s="118"/>
      <c r="J390" s="13"/>
      <c r="K390" s="270"/>
      <c r="L390" s="57"/>
      <c r="M390" s="119"/>
      <c r="N390" s="57"/>
      <c r="O390" s="57"/>
      <c r="P390" s="57"/>
      <c r="Q390" s="57"/>
      <c r="R390" s="57"/>
      <c r="S390" s="119"/>
      <c r="T390" s="57"/>
      <c r="AD390" s="122"/>
    </row>
    <row r="391" spans="1:30" ht="12.75" hidden="1" customHeight="1" x14ac:dyDescent="0.2">
      <c r="A391" s="121"/>
      <c r="D391" s="117"/>
      <c r="E391" s="117"/>
      <c r="I391" s="118"/>
      <c r="J391" s="13"/>
      <c r="K391" s="270"/>
      <c r="L391" s="57"/>
      <c r="M391" s="119"/>
      <c r="N391" s="57"/>
      <c r="O391" s="57"/>
      <c r="P391" s="57"/>
      <c r="Q391" s="57"/>
      <c r="R391" s="57"/>
      <c r="S391" s="119"/>
      <c r="T391" s="57"/>
      <c r="AD391" s="122"/>
    </row>
    <row r="392" spans="1:30" ht="12.75" hidden="1" customHeight="1" x14ac:dyDescent="0.2">
      <c r="A392" s="121"/>
      <c r="D392" s="117"/>
      <c r="E392" s="117"/>
      <c r="I392" s="118"/>
      <c r="J392" s="13"/>
      <c r="K392" s="270"/>
      <c r="L392" s="57"/>
      <c r="M392" s="119"/>
      <c r="N392" s="57"/>
      <c r="O392" s="57"/>
      <c r="P392" s="57"/>
      <c r="Q392" s="57"/>
      <c r="R392" s="57"/>
      <c r="S392" s="119"/>
      <c r="T392" s="57"/>
      <c r="AD392" s="122"/>
    </row>
    <row r="393" spans="1:30" ht="12.75" hidden="1" customHeight="1" x14ac:dyDescent="0.2">
      <c r="A393" s="121"/>
      <c r="D393" s="117"/>
      <c r="E393" s="117"/>
      <c r="I393" s="118"/>
      <c r="J393" s="13"/>
      <c r="K393" s="270"/>
      <c r="L393" s="57"/>
      <c r="M393" s="119"/>
      <c r="N393" s="57"/>
      <c r="O393" s="57"/>
      <c r="P393" s="57"/>
      <c r="Q393" s="57"/>
      <c r="R393" s="57"/>
      <c r="S393" s="119"/>
      <c r="T393" s="57"/>
      <c r="AD393" s="122"/>
    </row>
    <row r="394" spans="1:30" ht="12.75" hidden="1" customHeight="1" x14ac:dyDescent="0.2">
      <c r="A394" s="121"/>
      <c r="D394" s="117"/>
      <c r="E394" s="117"/>
      <c r="I394" s="118"/>
      <c r="J394" s="13"/>
      <c r="K394" s="270"/>
      <c r="L394" s="57"/>
      <c r="M394" s="119"/>
      <c r="N394" s="57"/>
      <c r="O394" s="57"/>
      <c r="P394" s="57"/>
      <c r="Q394" s="57"/>
      <c r="R394" s="57"/>
      <c r="S394" s="119"/>
      <c r="T394" s="57"/>
      <c r="AD394" s="122"/>
    </row>
    <row r="395" spans="1:30" ht="12.75" hidden="1" customHeight="1" x14ac:dyDescent="0.2">
      <c r="A395" s="121"/>
      <c r="D395" s="117"/>
      <c r="E395" s="117"/>
      <c r="I395" s="118"/>
      <c r="J395" s="13"/>
      <c r="K395" s="270"/>
      <c r="L395" s="57"/>
      <c r="M395" s="119"/>
      <c r="N395" s="57"/>
      <c r="O395" s="57"/>
      <c r="P395" s="57"/>
      <c r="Q395" s="57"/>
      <c r="R395" s="57"/>
      <c r="S395" s="119"/>
      <c r="T395" s="57"/>
      <c r="AD395" s="122"/>
    </row>
    <row r="396" spans="1:30" ht="12.75" hidden="1" customHeight="1" x14ac:dyDescent="0.2">
      <c r="A396" s="121"/>
      <c r="D396" s="117"/>
      <c r="E396" s="117"/>
      <c r="I396" s="118"/>
      <c r="J396" s="13"/>
      <c r="K396" s="270"/>
      <c r="L396" s="57"/>
      <c r="M396" s="119"/>
      <c r="N396" s="57"/>
      <c r="O396" s="57"/>
      <c r="P396" s="57"/>
      <c r="Q396" s="57"/>
      <c r="R396" s="57"/>
      <c r="S396" s="119"/>
      <c r="T396" s="57"/>
      <c r="AD396" s="122"/>
    </row>
    <row r="397" spans="1:30" ht="12.75" hidden="1" customHeight="1" x14ac:dyDescent="0.2">
      <c r="A397" s="121"/>
      <c r="D397" s="117"/>
      <c r="E397" s="117"/>
      <c r="I397" s="118"/>
      <c r="J397" s="13"/>
      <c r="K397" s="270"/>
      <c r="L397" s="57"/>
      <c r="M397" s="119"/>
      <c r="N397" s="57"/>
      <c r="O397" s="57"/>
      <c r="P397" s="57"/>
      <c r="Q397" s="57"/>
      <c r="R397" s="57"/>
      <c r="S397" s="119"/>
      <c r="T397" s="57"/>
      <c r="AD397" s="122"/>
    </row>
    <row r="398" spans="1:30" ht="12.75" hidden="1" customHeight="1" x14ac:dyDescent="0.2">
      <c r="A398" s="121"/>
      <c r="D398" s="117"/>
      <c r="E398" s="117"/>
      <c r="I398" s="118"/>
      <c r="J398" s="13"/>
      <c r="K398" s="270"/>
      <c r="L398" s="57"/>
      <c r="M398" s="119"/>
      <c r="N398" s="57"/>
      <c r="O398" s="57"/>
      <c r="P398" s="57"/>
      <c r="Q398" s="57"/>
      <c r="R398" s="57"/>
      <c r="S398" s="119"/>
      <c r="T398" s="57"/>
      <c r="AD398" s="122"/>
    </row>
    <row r="399" spans="1:30" ht="12.75" hidden="1" customHeight="1" x14ac:dyDescent="0.2">
      <c r="A399" s="121"/>
      <c r="D399" s="117"/>
      <c r="E399" s="117"/>
      <c r="I399" s="118"/>
      <c r="J399" s="13"/>
      <c r="K399" s="270"/>
      <c r="L399" s="57"/>
      <c r="M399" s="119"/>
      <c r="N399" s="57"/>
      <c r="O399" s="57"/>
      <c r="P399" s="57"/>
      <c r="Q399" s="57"/>
      <c r="R399" s="57"/>
      <c r="S399" s="119"/>
      <c r="T399" s="57"/>
      <c r="AD399" s="122"/>
    </row>
    <row r="400" spans="1:30" ht="12.75" hidden="1" customHeight="1" x14ac:dyDescent="0.2">
      <c r="A400" s="121"/>
      <c r="D400" s="117"/>
      <c r="E400" s="117"/>
      <c r="I400" s="118"/>
      <c r="J400" s="13"/>
      <c r="K400" s="270"/>
      <c r="L400" s="57"/>
      <c r="M400" s="119"/>
      <c r="N400" s="57"/>
      <c r="O400" s="57"/>
      <c r="P400" s="57"/>
      <c r="Q400" s="57"/>
      <c r="R400" s="57"/>
      <c r="S400" s="119"/>
      <c r="T400" s="57"/>
      <c r="AD400" s="122"/>
    </row>
    <row r="401" spans="1:30" ht="12.75" hidden="1" customHeight="1" x14ac:dyDescent="0.2">
      <c r="A401" s="121"/>
      <c r="D401" s="117"/>
      <c r="E401" s="117"/>
      <c r="I401" s="118"/>
      <c r="J401" s="13"/>
      <c r="K401" s="270"/>
      <c r="L401" s="57"/>
      <c r="M401" s="119"/>
      <c r="N401" s="57"/>
      <c r="O401" s="57"/>
      <c r="P401" s="57"/>
      <c r="Q401" s="57"/>
      <c r="R401" s="57"/>
      <c r="S401" s="119"/>
      <c r="T401" s="57"/>
      <c r="AD401" s="122"/>
    </row>
    <row r="402" spans="1:30" ht="12.75" hidden="1" customHeight="1" x14ac:dyDescent="0.2">
      <c r="A402" s="121"/>
      <c r="D402" s="117"/>
      <c r="E402" s="117"/>
      <c r="I402" s="118"/>
      <c r="J402" s="13"/>
      <c r="K402" s="270"/>
      <c r="L402" s="57"/>
      <c r="M402" s="119"/>
      <c r="N402" s="57"/>
      <c r="O402" s="57"/>
      <c r="P402" s="57"/>
      <c r="Q402" s="57"/>
      <c r="R402" s="57"/>
      <c r="S402" s="119"/>
      <c r="T402" s="57"/>
      <c r="AD402" s="122"/>
    </row>
    <row r="403" spans="1:30" ht="12.75" hidden="1" customHeight="1" x14ac:dyDescent="0.2">
      <c r="A403" s="121"/>
      <c r="D403" s="117"/>
      <c r="E403" s="117"/>
      <c r="I403" s="118"/>
      <c r="J403" s="13"/>
      <c r="K403" s="270"/>
      <c r="L403" s="57"/>
      <c r="M403" s="119"/>
      <c r="N403" s="57"/>
      <c r="O403" s="57"/>
      <c r="P403" s="57"/>
      <c r="Q403" s="57"/>
      <c r="R403" s="57"/>
      <c r="S403" s="119"/>
      <c r="T403" s="57"/>
      <c r="AD403" s="122"/>
    </row>
    <row r="404" spans="1:30" ht="12.75" hidden="1" customHeight="1" x14ac:dyDescent="0.2">
      <c r="A404" s="121"/>
      <c r="D404" s="117"/>
      <c r="E404" s="117"/>
      <c r="I404" s="118"/>
      <c r="J404" s="13"/>
      <c r="K404" s="270"/>
      <c r="L404" s="57"/>
      <c r="M404" s="119"/>
      <c r="N404" s="57"/>
      <c r="O404" s="57"/>
      <c r="P404" s="57"/>
      <c r="Q404" s="57"/>
      <c r="R404" s="57"/>
      <c r="S404" s="119"/>
      <c r="T404" s="57"/>
      <c r="AD404" s="122"/>
    </row>
    <row r="405" spans="1:30" ht="12.75" hidden="1" customHeight="1" x14ac:dyDescent="0.2">
      <c r="A405" s="121"/>
      <c r="D405" s="117"/>
      <c r="E405" s="117"/>
      <c r="I405" s="118"/>
      <c r="J405" s="13"/>
      <c r="K405" s="270"/>
      <c r="L405" s="57"/>
      <c r="M405" s="119"/>
      <c r="N405" s="57"/>
      <c r="O405" s="57"/>
      <c r="P405" s="57"/>
      <c r="Q405" s="57"/>
      <c r="R405" s="57"/>
      <c r="S405" s="119"/>
      <c r="T405" s="57"/>
      <c r="AD405" s="122"/>
    </row>
    <row r="406" spans="1:30" ht="12.75" hidden="1" customHeight="1" x14ac:dyDescent="0.2">
      <c r="A406" s="121"/>
      <c r="D406" s="117"/>
      <c r="E406" s="117"/>
      <c r="I406" s="118"/>
      <c r="J406" s="13"/>
      <c r="K406" s="270"/>
      <c r="L406" s="57"/>
      <c r="M406" s="119"/>
      <c r="N406" s="57"/>
      <c r="O406" s="57"/>
      <c r="P406" s="57"/>
      <c r="Q406" s="57"/>
      <c r="R406" s="57"/>
      <c r="S406" s="119"/>
      <c r="T406" s="57"/>
      <c r="AD406" s="122"/>
    </row>
    <row r="407" spans="1:30" ht="12.75" hidden="1" customHeight="1" x14ac:dyDescent="0.2">
      <c r="A407" s="121"/>
      <c r="D407" s="117"/>
      <c r="E407" s="117"/>
      <c r="I407" s="118"/>
      <c r="J407" s="13"/>
      <c r="K407" s="270"/>
      <c r="L407" s="57"/>
      <c r="M407" s="119"/>
      <c r="N407" s="57"/>
      <c r="O407" s="57"/>
      <c r="P407" s="57"/>
      <c r="Q407" s="57"/>
      <c r="R407" s="57"/>
      <c r="S407" s="119"/>
      <c r="T407" s="57"/>
      <c r="AD407" s="122"/>
    </row>
    <row r="408" spans="1:30" ht="12.75" hidden="1" customHeight="1" x14ac:dyDescent="0.2">
      <c r="A408" s="121"/>
      <c r="D408" s="117"/>
      <c r="E408" s="117"/>
      <c r="I408" s="118"/>
      <c r="J408" s="13"/>
      <c r="K408" s="270"/>
      <c r="L408" s="57"/>
      <c r="M408" s="119"/>
      <c r="N408" s="57"/>
      <c r="O408" s="57"/>
      <c r="P408" s="57"/>
      <c r="Q408" s="57"/>
      <c r="R408" s="57"/>
      <c r="S408" s="119"/>
      <c r="T408" s="57"/>
      <c r="AD408" s="122"/>
    </row>
    <row r="409" spans="1:30" ht="12.75" hidden="1" customHeight="1" x14ac:dyDescent="0.2">
      <c r="A409" s="121"/>
      <c r="D409" s="117"/>
      <c r="E409" s="117"/>
      <c r="I409" s="118"/>
      <c r="J409" s="13"/>
      <c r="K409" s="270"/>
      <c r="L409" s="57"/>
      <c r="M409" s="119"/>
      <c r="N409" s="57"/>
      <c r="O409" s="57"/>
      <c r="P409" s="57"/>
      <c r="Q409" s="57"/>
      <c r="R409" s="57"/>
      <c r="S409" s="119"/>
      <c r="T409" s="57"/>
      <c r="AD409" s="122"/>
    </row>
    <row r="410" spans="1:30" ht="12.75" hidden="1" customHeight="1" x14ac:dyDescent="0.2">
      <c r="A410" s="121"/>
      <c r="D410" s="117"/>
      <c r="E410" s="117"/>
      <c r="I410" s="118"/>
      <c r="J410" s="13"/>
      <c r="K410" s="270"/>
      <c r="L410" s="57"/>
      <c r="M410" s="119"/>
      <c r="N410" s="57"/>
      <c r="O410" s="57"/>
      <c r="P410" s="57"/>
      <c r="Q410" s="57"/>
      <c r="R410" s="57"/>
      <c r="S410" s="119"/>
      <c r="T410" s="57"/>
      <c r="AD410" s="122"/>
    </row>
    <row r="411" spans="1:30" ht="12.75" hidden="1" customHeight="1" x14ac:dyDescent="0.2">
      <c r="A411" s="121"/>
      <c r="D411" s="117"/>
      <c r="E411" s="117"/>
      <c r="I411" s="118"/>
      <c r="J411" s="13"/>
      <c r="K411" s="270"/>
      <c r="L411" s="57"/>
      <c r="M411" s="119"/>
      <c r="N411" s="57"/>
      <c r="O411" s="57"/>
      <c r="P411" s="57"/>
      <c r="Q411" s="57"/>
      <c r="R411" s="57"/>
      <c r="S411" s="119"/>
      <c r="T411" s="57"/>
      <c r="AD411" s="122"/>
    </row>
    <row r="412" spans="1:30" ht="12.75" hidden="1" customHeight="1" x14ac:dyDescent="0.2">
      <c r="A412" s="121"/>
      <c r="D412" s="117"/>
      <c r="E412" s="117"/>
      <c r="I412" s="118"/>
      <c r="J412" s="13"/>
      <c r="K412" s="270"/>
      <c r="L412" s="57"/>
      <c r="M412" s="119"/>
      <c r="N412" s="57"/>
      <c r="O412" s="57"/>
      <c r="P412" s="57"/>
      <c r="Q412" s="57"/>
      <c r="R412" s="57"/>
      <c r="S412" s="119"/>
      <c r="T412" s="57"/>
      <c r="AD412" s="122"/>
    </row>
    <row r="413" spans="1:30" ht="12.75" hidden="1" customHeight="1" x14ac:dyDescent="0.2">
      <c r="A413" s="121"/>
      <c r="D413" s="117"/>
      <c r="E413" s="117"/>
      <c r="I413" s="118"/>
      <c r="J413" s="13"/>
      <c r="K413" s="270"/>
      <c r="L413" s="57"/>
      <c r="M413" s="119"/>
      <c r="N413" s="57"/>
      <c r="O413" s="57"/>
      <c r="P413" s="57"/>
      <c r="Q413" s="57"/>
      <c r="R413" s="57"/>
      <c r="S413" s="119"/>
      <c r="T413" s="57"/>
      <c r="AD413" s="122"/>
    </row>
    <row r="414" spans="1:30" ht="12.75" hidden="1" customHeight="1" x14ac:dyDescent="0.2">
      <c r="A414" s="121"/>
      <c r="D414" s="117"/>
      <c r="E414" s="117"/>
      <c r="I414" s="118"/>
      <c r="J414" s="13"/>
      <c r="K414" s="270"/>
      <c r="L414" s="57"/>
      <c r="M414" s="119"/>
      <c r="N414" s="57"/>
      <c r="O414" s="57"/>
      <c r="P414" s="57"/>
      <c r="Q414" s="57"/>
      <c r="R414" s="57"/>
      <c r="S414" s="119"/>
      <c r="T414" s="57"/>
      <c r="AD414" s="122"/>
    </row>
    <row r="415" spans="1:30" ht="12.75" hidden="1" customHeight="1" x14ac:dyDescent="0.2">
      <c r="A415" s="121"/>
      <c r="D415" s="117"/>
      <c r="E415" s="117"/>
      <c r="I415" s="118"/>
      <c r="J415" s="13"/>
      <c r="K415" s="270"/>
      <c r="L415" s="57"/>
      <c r="M415" s="119"/>
      <c r="N415" s="57"/>
      <c r="O415" s="57"/>
      <c r="P415" s="57"/>
      <c r="Q415" s="57"/>
      <c r="R415" s="57"/>
      <c r="S415" s="119"/>
      <c r="T415" s="57"/>
      <c r="AD415" s="122"/>
    </row>
    <row r="416" spans="1:30" ht="12.75" hidden="1" customHeight="1" x14ac:dyDescent="0.2">
      <c r="A416" s="121"/>
      <c r="D416" s="117"/>
      <c r="E416" s="117"/>
      <c r="I416" s="118"/>
      <c r="J416" s="13"/>
      <c r="K416" s="270"/>
      <c r="L416" s="57"/>
      <c r="M416" s="119"/>
      <c r="N416" s="57"/>
      <c r="O416" s="57"/>
      <c r="P416" s="57"/>
      <c r="Q416" s="57"/>
      <c r="R416" s="57"/>
      <c r="S416" s="119"/>
      <c r="T416" s="57"/>
      <c r="AD416" s="122"/>
    </row>
    <row r="417" spans="1:30" ht="12.75" hidden="1" customHeight="1" x14ac:dyDescent="0.2">
      <c r="A417" s="121"/>
      <c r="D417" s="117"/>
      <c r="E417" s="117"/>
      <c r="I417" s="118"/>
      <c r="J417" s="13"/>
      <c r="K417" s="270"/>
      <c r="L417" s="57"/>
      <c r="M417" s="119"/>
      <c r="N417" s="57"/>
      <c r="O417" s="57"/>
      <c r="P417" s="57"/>
      <c r="Q417" s="57"/>
      <c r="R417" s="57"/>
      <c r="S417" s="119"/>
      <c r="T417" s="57"/>
      <c r="AD417" s="122"/>
    </row>
    <row r="418" spans="1:30" ht="12.75" hidden="1" customHeight="1" x14ac:dyDescent="0.2">
      <c r="A418" s="121"/>
      <c r="D418" s="117"/>
      <c r="E418" s="117"/>
      <c r="I418" s="118"/>
      <c r="J418" s="13"/>
      <c r="K418" s="270"/>
      <c r="L418" s="57"/>
      <c r="M418" s="119"/>
      <c r="N418" s="57"/>
      <c r="O418" s="57"/>
      <c r="P418" s="57"/>
      <c r="Q418" s="57"/>
      <c r="R418" s="57"/>
      <c r="S418" s="119"/>
      <c r="T418" s="57"/>
      <c r="AD418" s="122"/>
    </row>
    <row r="419" spans="1:30" ht="12.75" hidden="1" customHeight="1" x14ac:dyDescent="0.2">
      <c r="A419" s="121"/>
      <c r="D419" s="117"/>
      <c r="E419" s="117"/>
      <c r="I419" s="118"/>
      <c r="J419" s="13"/>
      <c r="K419" s="270"/>
      <c r="L419" s="57"/>
      <c r="M419" s="119"/>
      <c r="N419" s="57"/>
      <c r="O419" s="57"/>
      <c r="P419" s="57"/>
      <c r="Q419" s="57"/>
      <c r="R419" s="57"/>
      <c r="S419" s="119"/>
      <c r="T419" s="57"/>
      <c r="AD419" s="122"/>
    </row>
    <row r="420" spans="1:30" ht="12.75" hidden="1" customHeight="1" x14ac:dyDescent="0.2">
      <c r="A420" s="121"/>
      <c r="D420" s="117"/>
      <c r="E420" s="117"/>
      <c r="I420" s="118"/>
      <c r="J420" s="13"/>
      <c r="K420" s="270"/>
      <c r="L420" s="57"/>
      <c r="M420" s="119"/>
      <c r="N420" s="57"/>
      <c r="O420" s="57"/>
      <c r="P420" s="57"/>
      <c r="Q420" s="57"/>
      <c r="R420" s="57"/>
      <c r="S420" s="119"/>
      <c r="T420" s="57"/>
      <c r="AD420" s="122"/>
    </row>
    <row r="421" spans="1:30" ht="12.75" hidden="1" customHeight="1" x14ac:dyDescent="0.2">
      <c r="A421" s="121"/>
      <c r="D421" s="117"/>
      <c r="E421" s="117"/>
      <c r="I421" s="118"/>
      <c r="J421" s="13"/>
      <c r="K421" s="270"/>
      <c r="L421" s="57"/>
      <c r="M421" s="119"/>
      <c r="N421" s="57"/>
      <c r="O421" s="57"/>
      <c r="P421" s="57"/>
      <c r="Q421" s="57"/>
      <c r="R421" s="57"/>
      <c r="S421" s="119"/>
      <c r="T421" s="57"/>
      <c r="AD421" s="122"/>
    </row>
    <row r="422" spans="1:30" ht="12.75" hidden="1" customHeight="1" x14ac:dyDescent="0.2">
      <c r="A422" s="121"/>
      <c r="D422" s="117"/>
      <c r="E422" s="117"/>
      <c r="I422" s="118"/>
      <c r="J422" s="13"/>
      <c r="K422" s="270"/>
      <c r="L422" s="57"/>
      <c r="M422" s="119"/>
      <c r="N422" s="57"/>
      <c r="O422" s="57"/>
      <c r="P422" s="57"/>
      <c r="Q422" s="57"/>
      <c r="R422" s="57"/>
      <c r="S422" s="119"/>
      <c r="T422" s="57"/>
      <c r="AD422" s="122"/>
    </row>
    <row r="423" spans="1:30" ht="12.75" hidden="1" customHeight="1" x14ac:dyDescent="0.2">
      <c r="A423" s="121"/>
      <c r="D423" s="117"/>
      <c r="E423" s="117"/>
      <c r="I423" s="118"/>
      <c r="J423" s="13"/>
      <c r="K423" s="270"/>
      <c r="L423" s="57"/>
      <c r="M423" s="119"/>
      <c r="N423" s="57"/>
      <c r="O423" s="57"/>
      <c r="P423" s="57"/>
      <c r="Q423" s="57"/>
      <c r="R423" s="57"/>
      <c r="S423" s="119"/>
      <c r="T423" s="57"/>
      <c r="AD423" s="122"/>
    </row>
    <row r="424" spans="1:30" ht="12.75" hidden="1" customHeight="1" x14ac:dyDescent="0.2">
      <c r="A424" s="121"/>
      <c r="D424" s="117"/>
      <c r="E424" s="117"/>
      <c r="I424" s="118"/>
      <c r="J424" s="13"/>
      <c r="K424" s="270"/>
      <c r="L424" s="57"/>
      <c r="M424" s="119"/>
      <c r="N424" s="57"/>
      <c r="O424" s="57"/>
      <c r="P424" s="57"/>
      <c r="Q424" s="57"/>
      <c r="R424" s="57"/>
      <c r="S424" s="119"/>
      <c r="T424" s="57"/>
      <c r="AD424" s="122"/>
    </row>
    <row r="425" spans="1:30" ht="12.75" hidden="1" customHeight="1" x14ac:dyDescent="0.2">
      <c r="A425" s="121"/>
      <c r="D425" s="117"/>
      <c r="E425" s="117"/>
      <c r="I425" s="118"/>
      <c r="J425" s="13"/>
      <c r="K425" s="270"/>
      <c r="L425" s="57"/>
      <c r="M425" s="119"/>
      <c r="N425" s="57"/>
      <c r="O425" s="57"/>
      <c r="P425" s="57"/>
      <c r="Q425" s="57"/>
      <c r="R425" s="57"/>
      <c r="S425" s="119"/>
      <c r="T425" s="57"/>
      <c r="AD425" s="122"/>
    </row>
    <row r="426" spans="1:30" ht="12.75" hidden="1" customHeight="1" x14ac:dyDescent="0.2">
      <c r="A426" s="121"/>
      <c r="D426" s="117"/>
      <c r="E426" s="117"/>
      <c r="I426" s="118"/>
      <c r="J426" s="13"/>
      <c r="K426" s="270"/>
      <c r="L426" s="57"/>
      <c r="M426" s="119"/>
      <c r="N426" s="57"/>
      <c r="O426" s="57"/>
      <c r="P426" s="57"/>
      <c r="Q426" s="57"/>
      <c r="R426" s="57"/>
      <c r="S426" s="119"/>
      <c r="T426" s="57"/>
      <c r="AD426" s="122"/>
    </row>
    <row r="427" spans="1:30" ht="12.75" hidden="1" customHeight="1" x14ac:dyDescent="0.2">
      <c r="A427" s="121"/>
      <c r="D427" s="117"/>
      <c r="E427" s="117"/>
      <c r="I427" s="118"/>
      <c r="J427" s="13"/>
      <c r="K427" s="270"/>
      <c r="L427" s="57"/>
      <c r="M427" s="119"/>
      <c r="N427" s="57"/>
      <c r="O427" s="57"/>
      <c r="P427" s="57"/>
      <c r="Q427" s="57"/>
      <c r="R427" s="57"/>
      <c r="S427" s="119"/>
      <c r="T427" s="57"/>
      <c r="AD427" s="122"/>
    </row>
    <row r="428" spans="1:30" ht="12.75" hidden="1" customHeight="1" x14ac:dyDescent="0.2">
      <c r="A428" s="121"/>
      <c r="D428" s="117"/>
      <c r="E428" s="117"/>
      <c r="I428" s="118"/>
      <c r="J428" s="13"/>
      <c r="K428" s="270"/>
      <c r="L428" s="57"/>
      <c r="M428" s="119"/>
      <c r="N428" s="57"/>
      <c r="O428" s="57"/>
      <c r="P428" s="57"/>
      <c r="Q428" s="57"/>
      <c r="R428" s="57"/>
      <c r="S428" s="119"/>
      <c r="T428" s="57"/>
      <c r="AD428" s="122"/>
    </row>
    <row r="429" spans="1:30" ht="12.75" hidden="1" customHeight="1" x14ac:dyDescent="0.2">
      <c r="A429" s="121"/>
      <c r="D429" s="117"/>
      <c r="E429" s="117"/>
      <c r="I429" s="118"/>
      <c r="J429" s="13"/>
      <c r="K429" s="270"/>
      <c r="L429" s="57"/>
      <c r="M429" s="119"/>
      <c r="N429" s="57"/>
      <c r="O429" s="57"/>
      <c r="P429" s="57"/>
      <c r="Q429" s="57"/>
      <c r="R429" s="57"/>
      <c r="S429" s="119"/>
      <c r="T429" s="57"/>
      <c r="AD429" s="122"/>
    </row>
    <row r="430" spans="1:30" ht="12.75" hidden="1" customHeight="1" x14ac:dyDescent="0.2">
      <c r="A430" s="121"/>
      <c r="D430" s="117"/>
      <c r="E430" s="117"/>
      <c r="I430" s="118"/>
      <c r="J430" s="13"/>
      <c r="K430" s="270"/>
      <c r="L430" s="57"/>
      <c r="M430" s="119"/>
      <c r="N430" s="57"/>
      <c r="O430" s="57"/>
      <c r="P430" s="57"/>
      <c r="Q430" s="57"/>
      <c r="R430" s="57"/>
      <c r="S430" s="119"/>
      <c r="T430" s="57"/>
      <c r="AD430" s="122"/>
    </row>
    <row r="431" spans="1:30" ht="12.75" hidden="1" customHeight="1" x14ac:dyDescent="0.2">
      <c r="A431" s="121"/>
      <c r="D431" s="117"/>
      <c r="E431" s="117"/>
      <c r="I431" s="118"/>
      <c r="J431" s="13"/>
      <c r="K431" s="270"/>
      <c r="L431" s="57"/>
      <c r="M431" s="119"/>
      <c r="N431" s="57"/>
      <c r="O431" s="57"/>
      <c r="P431" s="57"/>
      <c r="Q431" s="57"/>
      <c r="R431" s="57"/>
      <c r="S431" s="119"/>
      <c r="T431" s="57"/>
      <c r="AD431" s="122"/>
    </row>
    <row r="432" spans="1:30" ht="12.75" hidden="1" customHeight="1" x14ac:dyDescent="0.2">
      <c r="A432" s="121"/>
      <c r="D432" s="117"/>
      <c r="E432" s="117"/>
      <c r="I432" s="118"/>
      <c r="J432" s="13"/>
      <c r="K432" s="270"/>
      <c r="L432" s="57"/>
      <c r="M432" s="119"/>
      <c r="N432" s="57"/>
      <c r="O432" s="57"/>
      <c r="P432" s="57"/>
      <c r="Q432" s="57"/>
      <c r="R432" s="57"/>
      <c r="S432" s="119"/>
      <c r="T432" s="57"/>
      <c r="AD432" s="122"/>
    </row>
    <row r="433" spans="1:30" ht="12.75" hidden="1" customHeight="1" x14ac:dyDescent="0.2">
      <c r="A433" s="121"/>
      <c r="D433" s="117"/>
      <c r="E433" s="117"/>
      <c r="I433" s="118"/>
      <c r="J433" s="13"/>
      <c r="K433" s="270"/>
      <c r="L433" s="57"/>
      <c r="M433" s="119"/>
      <c r="N433" s="57"/>
      <c r="O433" s="57"/>
      <c r="P433" s="57"/>
      <c r="Q433" s="57"/>
      <c r="R433" s="57"/>
      <c r="S433" s="119"/>
      <c r="T433" s="57"/>
      <c r="AD433" s="122"/>
    </row>
    <row r="434" spans="1:30" ht="12.75" hidden="1" customHeight="1" x14ac:dyDescent="0.2">
      <c r="A434" s="121"/>
      <c r="D434" s="117"/>
      <c r="E434" s="117"/>
      <c r="I434" s="118"/>
      <c r="J434" s="13"/>
      <c r="K434" s="270"/>
      <c r="L434" s="57"/>
      <c r="M434" s="119"/>
      <c r="N434" s="57"/>
      <c r="O434" s="57"/>
      <c r="P434" s="57"/>
      <c r="Q434" s="57"/>
      <c r="R434" s="57"/>
      <c r="S434" s="119"/>
      <c r="T434" s="57"/>
      <c r="AD434" s="122"/>
    </row>
    <row r="435" spans="1:30" ht="12.75" hidden="1" customHeight="1" x14ac:dyDescent="0.2">
      <c r="A435" s="121"/>
      <c r="D435" s="117"/>
      <c r="E435" s="117"/>
      <c r="I435" s="118"/>
      <c r="J435" s="13"/>
      <c r="K435" s="270"/>
      <c r="L435" s="57"/>
      <c r="M435" s="119"/>
      <c r="N435" s="57"/>
      <c r="O435" s="57"/>
      <c r="P435" s="57"/>
      <c r="Q435" s="57"/>
      <c r="R435" s="57"/>
      <c r="S435" s="119"/>
      <c r="T435" s="57"/>
      <c r="AD435" s="122"/>
    </row>
    <row r="436" spans="1:30" ht="12.75" hidden="1" customHeight="1" x14ac:dyDescent="0.2">
      <c r="A436" s="121"/>
      <c r="D436" s="117"/>
      <c r="E436" s="117"/>
      <c r="I436" s="118"/>
      <c r="J436" s="13"/>
      <c r="K436" s="270"/>
      <c r="L436" s="57"/>
      <c r="M436" s="119"/>
      <c r="N436" s="57"/>
      <c r="O436" s="57"/>
      <c r="P436" s="57"/>
      <c r="Q436" s="57"/>
      <c r="R436" s="57"/>
      <c r="S436" s="119"/>
      <c r="T436" s="57"/>
      <c r="AD436" s="122"/>
    </row>
    <row r="437" spans="1:30" ht="12.75" hidden="1" customHeight="1" x14ac:dyDescent="0.2">
      <c r="A437" s="121"/>
      <c r="D437" s="117"/>
      <c r="E437" s="117"/>
      <c r="I437" s="118"/>
      <c r="J437" s="13"/>
      <c r="K437" s="270"/>
      <c r="L437" s="57"/>
      <c r="M437" s="119"/>
      <c r="N437" s="57"/>
      <c r="O437" s="57"/>
      <c r="P437" s="57"/>
      <c r="Q437" s="57"/>
      <c r="R437" s="57"/>
      <c r="S437" s="119"/>
      <c r="T437" s="57"/>
      <c r="AD437" s="122"/>
    </row>
    <row r="438" spans="1:30" ht="12.75" hidden="1" customHeight="1" x14ac:dyDescent="0.2">
      <c r="A438" s="121"/>
      <c r="D438" s="117"/>
      <c r="E438" s="117"/>
      <c r="I438" s="118"/>
      <c r="J438" s="13"/>
      <c r="K438" s="270"/>
      <c r="L438" s="57"/>
      <c r="M438" s="119"/>
      <c r="N438" s="57"/>
      <c r="O438" s="57"/>
      <c r="P438" s="57"/>
      <c r="Q438" s="57"/>
      <c r="R438" s="57"/>
      <c r="S438" s="119"/>
      <c r="T438" s="57"/>
      <c r="AD438" s="122"/>
    </row>
    <row r="439" spans="1:30" ht="12.75" hidden="1" customHeight="1" x14ac:dyDescent="0.2">
      <c r="A439" s="121"/>
      <c r="D439" s="117"/>
      <c r="E439" s="117"/>
      <c r="I439" s="118"/>
      <c r="J439" s="13"/>
      <c r="K439" s="270"/>
      <c r="L439" s="57"/>
      <c r="M439" s="119"/>
      <c r="N439" s="57"/>
      <c r="O439" s="57"/>
      <c r="P439" s="57"/>
      <c r="Q439" s="57"/>
      <c r="R439" s="57"/>
      <c r="S439" s="119"/>
      <c r="T439" s="57"/>
      <c r="AD439" s="122"/>
    </row>
    <row r="440" spans="1:30" ht="12.75" hidden="1" customHeight="1" x14ac:dyDescent="0.2">
      <c r="A440" s="121"/>
      <c r="D440" s="117"/>
      <c r="E440" s="117"/>
      <c r="I440" s="118"/>
      <c r="J440" s="13"/>
      <c r="K440" s="270"/>
      <c r="L440" s="57"/>
      <c r="M440" s="119"/>
      <c r="N440" s="57"/>
      <c r="O440" s="57"/>
      <c r="P440" s="57"/>
      <c r="Q440" s="57"/>
      <c r="R440" s="57"/>
      <c r="S440" s="119"/>
      <c r="T440" s="57"/>
      <c r="AD440" s="122"/>
    </row>
    <row r="441" spans="1:30" ht="12.75" hidden="1" customHeight="1" x14ac:dyDescent="0.2">
      <c r="A441" s="121"/>
      <c r="D441" s="117"/>
      <c r="E441" s="117"/>
      <c r="I441" s="118"/>
      <c r="J441" s="13"/>
      <c r="K441" s="270"/>
      <c r="L441" s="57"/>
      <c r="M441" s="119"/>
      <c r="N441" s="57"/>
      <c r="O441" s="57"/>
      <c r="P441" s="57"/>
      <c r="Q441" s="57"/>
      <c r="R441" s="57"/>
      <c r="S441" s="119"/>
      <c r="T441" s="57"/>
      <c r="AD441" s="122"/>
    </row>
    <row r="442" spans="1:30" ht="12.75" hidden="1" customHeight="1" x14ac:dyDescent="0.2">
      <c r="A442" s="121"/>
      <c r="D442" s="117"/>
      <c r="E442" s="117"/>
      <c r="I442" s="118"/>
      <c r="J442" s="13"/>
      <c r="K442" s="270"/>
      <c r="L442" s="57"/>
      <c r="M442" s="119"/>
      <c r="N442" s="57"/>
      <c r="O442" s="57"/>
      <c r="P442" s="57"/>
      <c r="Q442" s="57"/>
      <c r="R442" s="57"/>
      <c r="S442" s="119"/>
      <c r="T442" s="57"/>
      <c r="AD442" s="122"/>
    </row>
    <row r="443" spans="1:30" ht="12.75" hidden="1" customHeight="1" x14ac:dyDescent="0.2">
      <c r="A443" s="121"/>
      <c r="D443" s="117"/>
      <c r="E443" s="117"/>
      <c r="I443" s="118"/>
      <c r="J443" s="13"/>
      <c r="K443" s="270"/>
      <c r="L443" s="57"/>
      <c r="M443" s="119"/>
      <c r="N443" s="57"/>
      <c r="O443" s="57"/>
      <c r="P443" s="57"/>
      <c r="Q443" s="57"/>
      <c r="R443" s="57"/>
      <c r="S443" s="119"/>
      <c r="T443" s="57"/>
      <c r="AD443" s="122"/>
    </row>
    <row r="444" spans="1:30" ht="12.75" hidden="1" customHeight="1" x14ac:dyDescent="0.2">
      <c r="A444" s="121"/>
      <c r="D444" s="117"/>
      <c r="E444" s="117"/>
      <c r="I444" s="118"/>
      <c r="J444" s="13"/>
      <c r="K444" s="270"/>
      <c r="L444" s="57"/>
      <c r="M444" s="119"/>
      <c r="N444" s="57"/>
      <c r="O444" s="57"/>
      <c r="P444" s="57"/>
      <c r="Q444" s="57"/>
      <c r="R444" s="57"/>
      <c r="S444" s="119"/>
      <c r="T444" s="57"/>
      <c r="AD444" s="122"/>
    </row>
    <row r="445" spans="1:30" ht="12.75" hidden="1" customHeight="1" x14ac:dyDescent="0.2">
      <c r="A445" s="121"/>
      <c r="D445" s="117"/>
      <c r="E445" s="117"/>
      <c r="I445" s="118"/>
      <c r="J445" s="13"/>
      <c r="K445" s="270"/>
      <c r="L445" s="57"/>
      <c r="M445" s="119"/>
      <c r="N445" s="57"/>
      <c r="O445" s="57"/>
      <c r="P445" s="57"/>
      <c r="Q445" s="57"/>
      <c r="R445" s="57"/>
      <c r="S445" s="119"/>
      <c r="T445" s="57"/>
      <c r="AD445" s="122"/>
    </row>
    <row r="446" spans="1:30" ht="12.75" hidden="1" customHeight="1" x14ac:dyDescent="0.2">
      <c r="A446" s="121"/>
      <c r="D446" s="117"/>
      <c r="E446" s="117"/>
      <c r="I446" s="118"/>
      <c r="J446" s="13"/>
      <c r="K446" s="270"/>
      <c r="L446" s="57"/>
      <c r="M446" s="119"/>
      <c r="N446" s="57"/>
      <c r="O446" s="57"/>
      <c r="P446" s="57"/>
      <c r="Q446" s="57"/>
      <c r="R446" s="57"/>
      <c r="S446" s="119"/>
      <c r="T446" s="57"/>
      <c r="AD446" s="122"/>
    </row>
    <row r="447" spans="1:30" ht="12.75" hidden="1" customHeight="1" x14ac:dyDescent="0.2">
      <c r="A447" s="121"/>
      <c r="D447" s="117"/>
      <c r="E447" s="117"/>
      <c r="I447" s="118"/>
      <c r="J447" s="13"/>
      <c r="K447" s="270"/>
      <c r="L447" s="57"/>
      <c r="M447" s="119"/>
      <c r="N447" s="57"/>
      <c r="O447" s="57"/>
      <c r="P447" s="57"/>
      <c r="Q447" s="57"/>
      <c r="R447" s="57"/>
      <c r="S447" s="119"/>
      <c r="T447" s="57"/>
      <c r="AD447" s="122"/>
    </row>
    <row r="448" spans="1:30" ht="12.75" hidden="1" customHeight="1" x14ac:dyDescent="0.2">
      <c r="A448" s="121"/>
      <c r="D448" s="117"/>
      <c r="E448" s="117"/>
      <c r="I448" s="118"/>
      <c r="J448" s="13"/>
      <c r="K448" s="270"/>
      <c r="L448" s="57"/>
      <c r="M448" s="119"/>
      <c r="N448" s="57"/>
      <c r="O448" s="57"/>
      <c r="P448" s="57"/>
      <c r="Q448" s="57"/>
      <c r="R448" s="57"/>
      <c r="S448" s="119"/>
      <c r="T448" s="57"/>
      <c r="AD448" s="122"/>
    </row>
    <row r="449" spans="1:30" ht="12.75" hidden="1" customHeight="1" x14ac:dyDescent="0.2">
      <c r="A449" s="121"/>
      <c r="D449" s="117"/>
      <c r="E449" s="117"/>
      <c r="I449" s="118"/>
      <c r="J449" s="13"/>
      <c r="K449" s="270"/>
      <c r="L449" s="57"/>
      <c r="M449" s="119"/>
      <c r="N449" s="57"/>
      <c r="O449" s="57"/>
      <c r="P449" s="57"/>
      <c r="Q449" s="57"/>
      <c r="R449" s="57"/>
      <c r="S449" s="119"/>
      <c r="T449" s="57"/>
      <c r="AD449" s="122"/>
    </row>
    <row r="450" spans="1:30" ht="12.75" hidden="1" customHeight="1" x14ac:dyDescent="0.2">
      <c r="A450" s="121"/>
      <c r="D450" s="117"/>
      <c r="E450" s="117"/>
      <c r="I450" s="118"/>
      <c r="J450" s="13"/>
      <c r="K450" s="270"/>
      <c r="L450" s="57"/>
      <c r="M450" s="119"/>
      <c r="N450" s="57"/>
      <c r="O450" s="57"/>
      <c r="P450" s="57"/>
      <c r="Q450" s="57"/>
      <c r="R450" s="57"/>
      <c r="S450" s="119"/>
      <c r="T450" s="57"/>
      <c r="AD450" s="122"/>
    </row>
    <row r="451" spans="1:30" ht="12.75" hidden="1" customHeight="1" x14ac:dyDescent="0.2">
      <c r="A451" s="121"/>
      <c r="D451" s="117"/>
      <c r="E451" s="117"/>
      <c r="I451" s="118"/>
      <c r="J451" s="13"/>
      <c r="K451" s="270"/>
      <c r="L451" s="57"/>
      <c r="M451" s="119"/>
      <c r="N451" s="57"/>
      <c r="O451" s="57"/>
      <c r="P451" s="57"/>
      <c r="Q451" s="57"/>
      <c r="R451" s="57"/>
      <c r="S451" s="119"/>
      <c r="T451" s="57"/>
      <c r="AD451" s="122"/>
    </row>
    <row r="452" spans="1:30" ht="12.75" hidden="1" customHeight="1" x14ac:dyDescent="0.2">
      <c r="A452" s="121"/>
      <c r="D452" s="117"/>
      <c r="E452" s="117"/>
      <c r="I452" s="118"/>
      <c r="J452" s="13"/>
      <c r="K452" s="270"/>
      <c r="L452" s="57"/>
      <c r="M452" s="119"/>
      <c r="N452" s="57"/>
      <c r="O452" s="57"/>
      <c r="P452" s="57"/>
      <c r="Q452" s="57"/>
      <c r="R452" s="57"/>
      <c r="S452" s="119"/>
      <c r="T452" s="57"/>
      <c r="AD452" s="122"/>
    </row>
    <row r="453" spans="1:30" ht="12.75" hidden="1" customHeight="1" x14ac:dyDescent="0.2">
      <c r="A453" s="121"/>
      <c r="D453" s="117"/>
      <c r="E453" s="117"/>
      <c r="I453" s="118"/>
      <c r="J453" s="13"/>
      <c r="K453" s="270"/>
      <c r="L453" s="57"/>
      <c r="M453" s="119"/>
      <c r="N453" s="57"/>
      <c r="O453" s="57"/>
      <c r="P453" s="57"/>
      <c r="Q453" s="57"/>
      <c r="R453" s="57"/>
      <c r="S453" s="119"/>
      <c r="T453" s="57"/>
      <c r="AD453" s="122"/>
    </row>
    <row r="454" spans="1:30" ht="12.75" hidden="1" customHeight="1" x14ac:dyDescent="0.2">
      <c r="A454" s="121"/>
      <c r="D454" s="117"/>
      <c r="E454" s="117"/>
      <c r="I454" s="118"/>
      <c r="J454" s="13"/>
      <c r="K454" s="270"/>
      <c r="L454" s="57"/>
      <c r="M454" s="119"/>
      <c r="N454" s="57"/>
      <c r="O454" s="57"/>
      <c r="P454" s="57"/>
      <c r="Q454" s="57"/>
      <c r="R454" s="57"/>
      <c r="S454" s="119"/>
      <c r="T454" s="57"/>
      <c r="AD454" s="122"/>
    </row>
    <row r="455" spans="1:30" ht="12.75" hidden="1" customHeight="1" x14ac:dyDescent="0.2">
      <c r="A455" s="121"/>
      <c r="D455" s="117"/>
      <c r="E455" s="117"/>
      <c r="I455" s="118"/>
      <c r="J455" s="13"/>
      <c r="K455" s="270"/>
      <c r="L455" s="57"/>
      <c r="M455" s="119"/>
      <c r="N455" s="57"/>
      <c r="O455" s="57"/>
      <c r="P455" s="57"/>
      <c r="Q455" s="57"/>
      <c r="R455" s="57"/>
      <c r="S455" s="119"/>
      <c r="T455" s="57"/>
      <c r="AD455" s="122"/>
    </row>
    <row r="456" spans="1:30" ht="12.75" hidden="1" customHeight="1" x14ac:dyDescent="0.2">
      <c r="A456" s="121"/>
      <c r="D456" s="117"/>
      <c r="E456" s="117"/>
      <c r="I456" s="118"/>
      <c r="J456" s="13"/>
      <c r="K456" s="270"/>
      <c r="L456" s="57"/>
      <c r="M456" s="119"/>
      <c r="N456" s="57"/>
      <c r="O456" s="57"/>
      <c r="P456" s="57"/>
      <c r="Q456" s="57"/>
      <c r="R456" s="57"/>
      <c r="S456" s="119"/>
      <c r="T456" s="57"/>
      <c r="AD456" s="122"/>
    </row>
    <row r="457" spans="1:30" ht="12.75" hidden="1" customHeight="1" x14ac:dyDescent="0.2">
      <c r="A457" s="121"/>
      <c r="D457" s="117"/>
      <c r="E457" s="117"/>
      <c r="I457" s="118"/>
      <c r="J457" s="13"/>
      <c r="K457" s="270"/>
      <c r="L457" s="57"/>
      <c r="M457" s="119"/>
      <c r="N457" s="57"/>
      <c r="O457" s="57"/>
      <c r="P457" s="57"/>
      <c r="Q457" s="57"/>
      <c r="R457" s="57"/>
      <c r="S457" s="119"/>
      <c r="T457" s="57"/>
      <c r="AD457" s="122"/>
    </row>
    <row r="458" spans="1:30" ht="12.75" hidden="1" customHeight="1" x14ac:dyDescent="0.2">
      <c r="A458" s="121"/>
      <c r="D458" s="117"/>
      <c r="E458" s="117"/>
      <c r="I458" s="118"/>
      <c r="J458" s="13"/>
      <c r="K458" s="270"/>
      <c r="L458" s="57"/>
      <c r="M458" s="119"/>
      <c r="N458" s="57"/>
      <c r="O458" s="57"/>
      <c r="P458" s="57"/>
      <c r="Q458" s="57"/>
      <c r="R458" s="57"/>
      <c r="S458" s="119"/>
      <c r="T458" s="57"/>
      <c r="AD458" s="122"/>
    </row>
    <row r="459" spans="1:30" ht="12.75" hidden="1" customHeight="1" x14ac:dyDescent="0.2">
      <c r="A459" s="121"/>
      <c r="D459" s="117"/>
      <c r="E459" s="117"/>
      <c r="I459" s="118"/>
      <c r="J459" s="13"/>
      <c r="K459" s="270"/>
      <c r="L459" s="57"/>
      <c r="M459" s="119"/>
      <c r="N459" s="57"/>
      <c r="O459" s="57"/>
      <c r="P459" s="57"/>
      <c r="Q459" s="57"/>
      <c r="R459" s="57"/>
      <c r="S459" s="119"/>
      <c r="T459" s="57"/>
      <c r="AD459" s="122"/>
    </row>
    <row r="460" spans="1:30" ht="12.75" hidden="1" customHeight="1" x14ac:dyDescent="0.2">
      <c r="A460" s="121"/>
      <c r="D460" s="117"/>
      <c r="E460" s="117"/>
      <c r="I460" s="118"/>
      <c r="J460" s="13"/>
      <c r="K460" s="270"/>
      <c r="L460" s="57"/>
      <c r="M460" s="119"/>
      <c r="N460" s="57"/>
      <c r="O460" s="57"/>
      <c r="P460" s="57"/>
      <c r="Q460" s="57"/>
      <c r="R460" s="57"/>
      <c r="S460" s="119"/>
      <c r="T460" s="57"/>
      <c r="AD460" s="122"/>
    </row>
    <row r="461" spans="1:30" ht="12.75" hidden="1" customHeight="1" x14ac:dyDescent="0.2">
      <c r="A461" s="121"/>
      <c r="D461" s="117"/>
      <c r="E461" s="117"/>
      <c r="I461" s="118"/>
      <c r="J461" s="13"/>
      <c r="K461" s="270"/>
      <c r="L461" s="57"/>
      <c r="M461" s="119"/>
      <c r="N461" s="57"/>
      <c r="O461" s="57"/>
      <c r="P461" s="57"/>
      <c r="Q461" s="57"/>
      <c r="R461" s="57"/>
      <c r="S461" s="119"/>
      <c r="T461" s="57"/>
      <c r="AD461" s="122"/>
    </row>
    <row r="462" spans="1:30" ht="12.75" hidden="1" customHeight="1" x14ac:dyDescent="0.2">
      <c r="A462" s="121"/>
      <c r="D462" s="117"/>
      <c r="E462" s="117"/>
      <c r="I462" s="118"/>
      <c r="J462" s="13"/>
      <c r="K462" s="270"/>
      <c r="L462" s="57"/>
      <c r="M462" s="119"/>
      <c r="N462" s="57"/>
      <c r="O462" s="57"/>
      <c r="P462" s="57"/>
      <c r="Q462" s="57"/>
      <c r="R462" s="57"/>
      <c r="S462" s="119"/>
      <c r="T462" s="57"/>
      <c r="AD462" s="122"/>
    </row>
    <row r="463" spans="1:30" ht="12.75" hidden="1" customHeight="1" x14ac:dyDescent="0.2">
      <c r="A463" s="121"/>
      <c r="D463" s="117"/>
      <c r="E463" s="117"/>
      <c r="I463" s="118"/>
      <c r="J463" s="13"/>
      <c r="K463" s="270"/>
      <c r="L463" s="57"/>
      <c r="M463" s="119"/>
      <c r="N463" s="57"/>
      <c r="O463" s="57"/>
      <c r="P463" s="57"/>
      <c r="Q463" s="57"/>
      <c r="R463" s="57"/>
      <c r="S463" s="119"/>
      <c r="T463" s="57"/>
      <c r="AD463" s="122"/>
    </row>
    <row r="464" spans="1:30" ht="12.75" hidden="1" customHeight="1" x14ac:dyDescent="0.2">
      <c r="A464" s="121"/>
      <c r="D464" s="117"/>
      <c r="E464" s="117"/>
      <c r="I464" s="118"/>
      <c r="J464" s="13"/>
      <c r="K464" s="270"/>
      <c r="L464" s="57"/>
      <c r="M464" s="119"/>
      <c r="N464" s="57"/>
      <c r="O464" s="57"/>
      <c r="P464" s="57"/>
      <c r="Q464" s="57"/>
      <c r="R464" s="57"/>
      <c r="S464" s="119"/>
      <c r="T464" s="57"/>
      <c r="AD464" s="122"/>
    </row>
    <row r="465" spans="1:30" ht="12.75" hidden="1" customHeight="1" x14ac:dyDescent="0.2">
      <c r="A465" s="121"/>
      <c r="D465" s="117"/>
      <c r="E465" s="117"/>
      <c r="I465" s="118"/>
      <c r="J465" s="13"/>
      <c r="K465" s="270"/>
      <c r="L465" s="57"/>
      <c r="M465" s="119"/>
      <c r="N465" s="57"/>
      <c r="O465" s="57"/>
      <c r="P465" s="57"/>
      <c r="Q465" s="57"/>
      <c r="R465" s="57"/>
      <c r="S465" s="119"/>
      <c r="T465" s="57"/>
      <c r="AD465" s="122"/>
    </row>
    <row r="466" spans="1:30" ht="12.75" hidden="1" customHeight="1" x14ac:dyDescent="0.2">
      <c r="A466" s="121"/>
      <c r="D466" s="117"/>
      <c r="E466" s="117"/>
      <c r="I466" s="118"/>
      <c r="J466" s="13"/>
      <c r="K466" s="270"/>
      <c r="L466" s="57"/>
      <c r="M466" s="119"/>
      <c r="N466" s="57"/>
      <c r="O466" s="57"/>
      <c r="P466" s="57"/>
      <c r="Q466" s="57"/>
      <c r="R466" s="57"/>
      <c r="S466" s="119"/>
      <c r="T466" s="57"/>
      <c r="AD466" s="122"/>
    </row>
    <row r="467" spans="1:30" ht="12.75" hidden="1" customHeight="1" x14ac:dyDescent="0.2">
      <c r="A467" s="121"/>
      <c r="D467" s="117"/>
      <c r="E467" s="117"/>
      <c r="I467" s="118"/>
      <c r="J467" s="13"/>
      <c r="K467" s="270"/>
      <c r="L467" s="57"/>
      <c r="M467" s="119"/>
      <c r="N467" s="57"/>
      <c r="O467" s="57"/>
      <c r="P467" s="57"/>
      <c r="Q467" s="57"/>
      <c r="R467" s="57"/>
      <c r="S467" s="119"/>
      <c r="T467" s="57"/>
      <c r="AD467" s="122"/>
    </row>
    <row r="468" spans="1:30" ht="12.75" hidden="1" customHeight="1" x14ac:dyDescent="0.2">
      <c r="A468" s="121"/>
      <c r="D468" s="117"/>
      <c r="E468" s="117"/>
      <c r="I468" s="118"/>
      <c r="J468" s="13"/>
      <c r="K468" s="270"/>
      <c r="L468" s="57"/>
      <c r="M468" s="119"/>
      <c r="N468" s="57"/>
      <c r="O468" s="57"/>
      <c r="P468" s="57"/>
      <c r="Q468" s="57"/>
      <c r="R468" s="57"/>
      <c r="S468" s="119"/>
      <c r="T468" s="57"/>
      <c r="AD468" s="122"/>
    </row>
    <row r="469" spans="1:30" ht="12.75" hidden="1" customHeight="1" x14ac:dyDescent="0.2">
      <c r="A469" s="121"/>
      <c r="D469" s="117"/>
      <c r="E469" s="117"/>
      <c r="I469" s="118"/>
      <c r="J469" s="13"/>
      <c r="K469" s="270"/>
      <c r="L469" s="57"/>
      <c r="M469" s="119"/>
      <c r="N469" s="57"/>
      <c r="O469" s="57"/>
      <c r="P469" s="57"/>
      <c r="Q469" s="57"/>
      <c r="R469" s="57"/>
      <c r="S469" s="119"/>
      <c r="T469" s="57"/>
      <c r="AD469" s="122"/>
    </row>
    <row r="470" spans="1:30" ht="12.75" hidden="1" customHeight="1" x14ac:dyDescent="0.2">
      <c r="A470" s="121"/>
      <c r="D470" s="117"/>
      <c r="E470" s="117"/>
      <c r="I470" s="118"/>
      <c r="J470" s="13"/>
      <c r="K470" s="270"/>
      <c r="L470" s="57"/>
      <c r="M470" s="119"/>
      <c r="N470" s="57"/>
      <c r="O470" s="57"/>
      <c r="P470" s="57"/>
      <c r="Q470" s="57"/>
      <c r="R470" s="57"/>
      <c r="S470" s="119"/>
      <c r="T470" s="57"/>
      <c r="AD470" s="122"/>
    </row>
    <row r="471" spans="1:30" ht="12.75" hidden="1" customHeight="1" x14ac:dyDescent="0.2">
      <c r="A471" s="121"/>
      <c r="D471" s="117"/>
      <c r="E471" s="117"/>
      <c r="I471" s="118"/>
      <c r="J471" s="13"/>
      <c r="K471" s="270"/>
      <c r="L471" s="57"/>
      <c r="M471" s="119"/>
      <c r="N471" s="57"/>
      <c r="O471" s="57"/>
      <c r="P471" s="57"/>
      <c r="Q471" s="57"/>
      <c r="R471" s="57"/>
      <c r="S471" s="119"/>
      <c r="T471" s="57"/>
      <c r="AD471" s="122"/>
    </row>
    <row r="472" spans="1:30" ht="12.75" hidden="1" customHeight="1" x14ac:dyDescent="0.2">
      <c r="A472" s="121"/>
      <c r="D472" s="117"/>
      <c r="E472" s="117"/>
      <c r="I472" s="118"/>
      <c r="J472" s="13"/>
      <c r="K472" s="270"/>
      <c r="L472" s="57"/>
      <c r="M472" s="119"/>
      <c r="N472" s="57"/>
      <c r="O472" s="57"/>
      <c r="P472" s="57"/>
      <c r="Q472" s="57"/>
      <c r="R472" s="57"/>
      <c r="S472" s="119"/>
      <c r="T472" s="57"/>
      <c r="AD472" s="122"/>
    </row>
    <row r="473" spans="1:30" ht="12.75" hidden="1" customHeight="1" x14ac:dyDescent="0.2">
      <c r="A473" s="121"/>
      <c r="D473" s="117"/>
      <c r="E473" s="117"/>
      <c r="I473" s="118"/>
      <c r="J473" s="13"/>
      <c r="K473" s="270"/>
      <c r="L473" s="57"/>
      <c r="M473" s="119"/>
      <c r="N473" s="57"/>
      <c r="O473" s="57"/>
      <c r="P473" s="57"/>
      <c r="Q473" s="57"/>
      <c r="R473" s="57"/>
      <c r="S473" s="119"/>
      <c r="T473" s="57"/>
      <c r="AD473" s="122"/>
    </row>
    <row r="474" spans="1:30" ht="12.75" hidden="1" customHeight="1" x14ac:dyDescent="0.2">
      <c r="A474" s="121"/>
      <c r="D474" s="117"/>
      <c r="E474" s="117"/>
      <c r="I474" s="118"/>
      <c r="J474" s="13"/>
      <c r="K474" s="270"/>
      <c r="L474" s="57"/>
      <c r="M474" s="119"/>
      <c r="N474" s="57"/>
      <c r="O474" s="57"/>
      <c r="P474" s="57"/>
      <c r="Q474" s="57"/>
      <c r="R474" s="57"/>
      <c r="S474" s="119"/>
      <c r="T474" s="57"/>
      <c r="AD474" s="122"/>
    </row>
    <row r="475" spans="1:30" ht="12.75" hidden="1" customHeight="1" x14ac:dyDescent="0.2">
      <c r="A475" s="121"/>
      <c r="D475" s="117"/>
      <c r="E475" s="117"/>
      <c r="I475" s="118"/>
      <c r="J475" s="13"/>
      <c r="K475" s="270"/>
      <c r="L475" s="57"/>
      <c r="M475" s="119"/>
      <c r="N475" s="57"/>
      <c r="O475" s="57"/>
      <c r="P475" s="57"/>
      <c r="Q475" s="57"/>
      <c r="R475" s="57"/>
      <c r="S475" s="119"/>
      <c r="T475" s="57"/>
      <c r="AD475" s="122"/>
    </row>
    <row r="476" spans="1:30" ht="12.75" hidden="1" customHeight="1" x14ac:dyDescent="0.2">
      <c r="A476" s="121"/>
      <c r="D476" s="117"/>
      <c r="E476" s="117"/>
      <c r="I476" s="118"/>
      <c r="J476" s="13"/>
      <c r="K476" s="270"/>
      <c r="L476" s="57"/>
      <c r="M476" s="119"/>
      <c r="N476" s="57"/>
      <c r="O476" s="57"/>
      <c r="P476" s="57"/>
      <c r="Q476" s="57"/>
      <c r="R476" s="57"/>
      <c r="S476" s="119"/>
      <c r="T476" s="57"/>
      <c r="AD476" s="122"/>
    </row>
    <row r="477" spans="1:30" ht="12.75" hidden="1" customHeight="1" x14ac:dyDescent="0.2">
      <c r="A477" s="121"/>
      <c r="D477" s="117"/>
      <c r="E477" s="117"/>
      <c r="I477" s="118"/>
      <c r="J477" s="13"/>
      <c r="K477" s="270"/>
      <c r="L477" s="57"/>
      <c r="M477" s="119"/>
      <c r="N477" s="57"/>
      <c r="O477" s="57"/>
      <c r="P477" s="57"/>
      <c r="Q477" s="57"/>
      <c r="R477" s="57"/>
      <c r="S477" s="119"/>
      <c r="T477" s="57"/>
      <c r="AD477" s="122"/>
    </row>
    <row r="478" spans="1:30" ht="12.75" hidden="1" customHeight="1" x14ac:dyDescent="0.2">
      <c r="A478" s="121"/>
      <c r="D478" s="117"/>
      <c r="E478" s="117"/>
      <c r="I478" s="118"/>
      <c r="J478" s="13"/>
      <c r="K478" s="270"/>
      <c r="L478" s="57"/>
      <c r="M478" s="119"/>
      <c r="N478" s="57"/>
      <c r="O478" s="57"/>
      <c r="P478" s="57"/>
      <c r="Q478" s="57"/>
      <c r="R478" s="57"/>
      <c r="S478" s="119"/>
      <c r="T478" s="57"/>
      <c r="AD478" s="122"/>
    </row>
    <row r="479" spans="1:30" ht="12.75" hidden="1" customHeight="1" x14ac:dyDescent="0.2">
      <c r="A479" s="121"/>
      <c r="D479" s="117"/>
      <c r="E479" s="117"/>
      <c r="I479" s="118"/>
      <c r="J479" s="13"/>
      <c r="K479" s="270"/>
      <c r="L479" s="57"/>
      <c r="M479" s="119"/>
      <c r="N479" s="57"/>
      <c r="O479" s="57"/>
      <c r="P479" s="57"/>
      <c r="Q479" s="57"/>
      <c r="R479" s="57"/>
      <c r="S479" s="119"/>
      <c r="T479" s="57"/>
      <c r="AD479" s="122"/>
    </row>
    <row r="480" spans="1:30" ht="12.75" hidden="1" customHeight="1" x14ac:dyDescent="0.2">
      <c r="A480" s="121"/>
      <c r="D480" s="117"/>
      <c r="E480" s="117"/>
      <c r="I480" s="118"/>
      <c r="J480" s="13"/>
      <c r="K480" s="270"/>
      <c r="L480" s="57"/>
      <c r="M480" s="119"/>
      <c r="N480" s="57"/>
      <c r="O480" s="57"/>
      <c r="P480" s="57"/>
      <c r="Q480" s="57"/>
      <c r="R480" s="57"/>
      <c r="S480" s="119"/>
      <c r="T480" s="57"/>
      <c r="AD480" s="122"/>
    </row>
    <row r="481" spans="1:30" ht="12.75" hidden="1" customHeight="1" x14ac:dyDescent="0.2">
      <c r="A481" s="121"/>
      <c r="D481" s="117"/>
      <c r="E481" s="117"/>
      <c r="I481" s="118"/>
      <c r="J481" s="13"/>
      <c r="K481" s="270"/>
      <c r="L481" s="57"/>
      <c r="M481" s="119"/>
      <c r="N481" s="57"/>
      <c r="O481" s="57"/>
      <c r="P481" s="57"/>
      <c r="Q481" s="57"/>
      <c r="R481" s="57"/>
      <c r="S481" s="119"/>
      <c r="T481" s="57"/>
      <c r="AD481" s="122"/>
    </row>
    <row r="482" spans="1:30" ht="12.75" hidden="1" customHeight="1" x14ac:dyDescent="0.2">
      <c r="A482" s="121"/>
      <c r="D482" s="117"/>
      <c r="E482" s="117"/>
      <c r="I482" s="118"/>
      <c r="J482" s="13"/>
      <c r="K482" s="270"/>
      <c r="L482" s="57"/>
      <c r="M482" s="119"/>
      <c r="N482" s="57"/>
      <c r="O482" s="57"/>
      <c r="P482" s="57"/>
      <c r="Q482" s="57"/>
      <c r="R482" s="57"/>
      <c r="S482" s="119"/>
      <c r="T482" s="57"/>
      <c r="AD482" s="122"/>
    </row>
    <row r="483" spans="1:30" ht="12.75" hidden="1" customHeight="1" x14ac:dyDescent="0.2">
      <c r="A483" s="121"/>
      <c r="D483" s="117"/>
      <c r="E483" s="117"/>
      <c r="I483" s="118"/>
      <c r="J483" s="13"/>
      <c r="K483" s="270"/>
      <c r="L483" s="57"/>
      <c r="M483" s="119"/>
      <c r="N483" s="57"/>
      <c r="O483" s="57"/>
      <c r="P483" s="57"/>
      <c r="Q483" s="57"/>
      <c r="R483" s="57"/>
      <c r="S483" s="119"/>
      <c r="T483" s="57"/>
      <c r="AD483" s="122"/>
    </row>
    <row r="484" spans="1:30" ht="12.75" hidden="1" customHeight="1" x14ac:dyDescent="0.2">
      <c r="A484" s="121"/>
      <c r="D484" s="117"/>
      <c r="E484" s="117"/>
      <c r="I484" s="118"/>
      <c r="J484" s="13"/>
      <c r="K484" s="270"/>
      <c r="L484" s="57"/>
      <c r="M484" s="119"/>
      <c r="N484" s="57"/>
      <c r="O484" s="57"/>
      <c r="P484" s="57"/>
      <c r="Q484" s="57"/>
      <c r="R484" s="57"/>
      <c r="S484" s="119"/>
      <c r="T484" s="57"/>
      <c r="AD484" s="122"/>
    </row>
    <row r="485" spans="1:30" ht="12.75" hidden="1" customHeight="1" x14ac:dyDescent="0.2">
      <c r="A485" s="121"/>
      <c r="D485" s="117"/>
      <c r="E485" s="117"/>
      <c r="I485" s="118"/>
      <c r="J485" s="13"/>
      <c r="K485" s="270"/>
      <c r="L485" s="57"/>
      <c r="M485" s="119"/>
      <c r="N485" s="57"/>
      <c r="O485" s="57"/>
      <c r="P485" s="57"/>
      <c r="Q485" s="57"/>
      <c r="R485" s="57"/>
      <c r="S485" s="119"/>
      <c r="T485" s="57"/>
      <c r="AD485" s="122"/>
    </row>
    <row r="486" spans="1:30" ht="12.75" hidden="1" customHeight="1" x14ac:dyDescent="0.2">
      <c r="A486" s="121"/>
      <c r="D486" s="117"/>
      <c r="E486" s="117"/>
      <c r="I486" s="118"/>
      <c r="J486" s="13"/>
      <c r="K486" s="270"/>
      <c r="L486" s="57"/>
      <c r="M486" s="119"/>
      <c r="N486" s="57"/>
      <c r="O486" s="57"/>
      <c r="P486" s="57"/>
      <c r="Q486" s="57"/>
      <c r="R486" s="57"/>
      <c r="S486" s="119"/>
      <c r="T486" s="57"/>
      <c r="AD486" s="122"/>
    </row>
    <row r="487" spans="1:30" ht="12.75" hidden="1" customHeight="1" x14ac:dyDescent="0.2">
      <c r="A487" s="121"/>
      <c r="D487" s="117"/>
      <c r="E487" s="117"/>
      <c r="I487" s="118"/>
      <c r="J487" s="13"/>
      <c r="K487" s="270"/>
      <c r="L487" s="57"/>
      <c r="M487" s="119"/>
      <c r="N487" s="57"/>
      <c r="O487" s="57"/>
      <c r="P487" s="57"/>
      <c r="Q487" s="57"/>
      <c r="R487" s="57"/>
      <c r="S487" s="119"/>
      <c r="T487" s="57"/>
      <c r="AD487" s="122"/>
    </row>
    <row r="488" spans="1:30" ht="12.75" hidden="1" customHeight="1" x14ac:dyDescent="0.2">
      <c r="A488" s="121"/>
      <c r="D488" s="117"/>
      <c r="E488" s="117"/>
      <c r="I488" s="118"/>
      <c r="J488" s="13"/>
      <c r="K488" s="270"/>
      <c r="L488" s="57"/>
      <c r="M488" s="119"/>
      <c r="N488" s="57"/>
      <c r="O488" s="57"/>
      <c r="P488" s="57"/>
      <c r="Q488" s="57"/>
      <c r="R488" s="57"/>
      <c r="S488" s="119"/>
      <c r="T488" s="57"/>
      <c r="AD488" s="122"/>
    </row>
    <row r="489" spans="1:30" ht="12.75" hidden="1" customHeight="1" x14ac:dyDescent="0.2">
      <c r="A489" s="121"/>
      <c r="D489" s="117"/>
      <c r="E489" s="117"/>
      <c r="I489" s="118"/>
      <c r="J489" s="13"/>
      <c r="K489" s="270"/>
      <c r="L489" s="57"/>
      <c r="M489" s="119"/>
      <c r="N489" s="57"/>
      <c r="O489" s="57"/>
      <c r="P489" s="57"/>
      <c r="Q489" s="57"/>
      <c r="R489" s="57"/>
      <c r="S489" s="119"/>
      <c r="T489" s="57"/>
      <c r="AD489" s="122"/>
    </row>
    <row r="490" spans="1:30" ht="12.75" hidden="1" customHeight="1" x14ac:dyDescent="0.2">
      <c r="A490" s="121"/>
      <c r="D490" s="117"/>
      <c r="E490" s="117"/>
      <c r="I490" s="118"/>
      <c r="J490" s="13"/>
      <c r="K490" s="270"/>
      <c r="L490" s="57"/>
      <c r="M490" s="119"/>
      <c r="N490" s="57"/>
      <c r="O490" s="57"/>
      <c r="P490" s="57"/>
      <c r="Q490" s="57"/>
      <c r="R490" s="57"/>
      <c r="S490" s="119"/>
      <c r="T490" s="57"/>
      <c r="AD490" s="122"/>
    </row>
    <row r="491" spans="1:30" ht="12.75" hidden="1" customHeight="1" x14ac:dyDescent="0.2">
      <c r="A491" s="121"/>
      <c r="D491" s="117"/>
      <c r="E491" s="117"/>
      <c r="I491" s="118"/>
      <c r="J491" s="13"/>
      <c r="K491" s="270"/>
      <c r="L491" s="57"/>
      <c r="M491" s="119"/>
      <c r="N491" s="57"/>
      <c r="O491" s="57"/>
      <c r="P491" s="57"/>
      <c r="Q491" s="57"/>
      <c r="R491" s="57"/>
      <c r="S491" s="119"/>
      <c r="T491" s="57"/>
      <c r="AD491" s="122"/>
    </row>
    <row r="492" spans="1:30" ht="12.75" hidden="1" customHeight="1" x14ac:dyDescent="0.2">
      <c r="A492" s="121"/>
      <c r="D492" s="117"/>
      <c r="E492" s="117"/>
      <c r="I492" s="118"/>
      <c r="J492" s="13"/>
      <c r="K492" s="270"/>
      <c r="L492" s="57"/>
      <c r="M492" s="119"/>
      <c r="N492" s="57"/>
      <c r="O492" s="57"/>
      <c r="P492" s="57"/>
      <c r="Q492" s="57"/>
      <c r="R492" s="57"/>
      <c r="S492" s="119"/>
      <c r="T492" s="57"/>
      <c r="AD492" s="122"/>
    </row>
    <row r="493" spans="1:30" ht="12.75" hidden="1" customHeight="1" x14ac:dyDescent="0.2">
      <c r="A493" s="121"/>
      <c r="D493" s="117"/>
      <c r="E493" s="117"/>
      <c r="I493" s="118"/>
      <c r="J493" s="13"/>
      <c r="K493" s="270"/>
      <c r="L493" s="57"/>
      <c r="M493" s="119"/>
      <c r="N493" s="57"/>
      <c r="O493" s="57"/>
      <c r="P493" s="57"/>
      <c r="Q493" s="57"/>
      <c r="R493" s="57"/>
      <c r="S493" s="119"/>
      <c r="T493" s="57"/>
      <c r="AD493" s="122"/>
    </row>
    <row r="494" spans="1:30" ht="12.75" hidden="1" customHeight="1" x14ac:dyDescent="0.2">
      <c r="A494" s="121"/>
      <c r="D494" s="117"/>
      <c r="E494" s="117"/>
      <c r="I494" s="118"/>
      <c r="J494" s="13"/>
      <c r="K494" s="270"/>
      <c r="L494" s="57"/>
      <c r="M494" s="119"/>
      <c r="N494" s="57"/>
      <c r="O494" s="57"/>
      <c r="P494" s="57"/>
      <c r="Q494" s="57"/>
      <c r="R494" s="57"/>
      <c r="S494" s="119"/>
      <c r="T494" s="57"/>
      <c r="AD494" s="122"/>
    </row>
    <row r="495" spans="1:30" ht="12.75" hidden="1" customHeight="1" x14ac:dyDescent="0.2">
      <c r="A495" s="121"/>
      <c r="D495" s="117"/>
      <c r="E495" s="117"/>
      <c r="I495" s="118"/>
      <c r="J495" s="13"/>
      <c r="K495" s="270"/>
      <c r="L495" s="57"/>
      <c r="M495" s="119"/>
      <c r="N495" s="57"/>
      <c r="O495" s="57"/>
      <c r="P495" s="57"/>
      <c r="Q495" s="57"/>
      <c r="R495" s="57"/>
      <c r="S495" s="119"/>
      <c r="T495" s="57"/>
      <c r="AD495" s="122"/>
    </row>
    <row r="496" spans="1:30" ht="12.75" hidden="1" customHeight="1" x14ac:dyDescent="0.2">
      <c r="A496" s="121"/>
      <c r="D496" s="117"/>
      <c r="E496" s="117"/>
      <c r="I496" s="118"/>
      <c r="J496" s="13"/>
      <c r="K496" s="270"/>
      <c r="L496" s="57"/>
      <c r="M496" s="119"/>
      <c r="N496" s="57"/>
      <c r="O496" s="57"/>
      <c r="P496" s="57"/>
      <c r="Q496" s="57"/>
      <c r="R496" s="57"/>
      <c r="S496" s="119"/>
      <c r="T496" s="57"/>
      <c r="AD496" s="122"/>
    </row>
    <row r="497" spans="1:30" ht="12.75" hidden="1" customHeight="1" x14ac:dyDescent="0.2">
      <c r="A497" s="121"/>
      <c r="D497" s="117"/>
      <c r="E497" s="117"/>
      <c r="I497" s="118"/>
      <c r="J497" s="13"/>
      <c r="K497" s="270"/>
      <c r="L497" s="57"/>
      <c r="M497" s="119"/>
      <c r="N497" s="57"/>
      <c r="O497" s="57"/>
      <c r="P497" s="57"/>
      <c r="Q497" s="57"/>
      <c r="R497" s="57"/>
      <c r="S497" s="119"/>
      <c r="T497" s="57"/>
      <c r="AD497" s="122"/>
    </row>
    <row r="498" spans="1:30" ht="12.75" hidden="1" customHeight="1" x14ac:dyDescent="0.2">
      <c r="A498" s="121"/>
      <c r="D498" s="117"/>
      <c r="E498" s="117"/>
      <c r="I498" s="118"/>
      <c r="J498" s="13"/>
      <c r="K498" s="270"/>
      <c r="L498" s="57"/>
      <c r="M498" s="119"/>
      <c r="N498" s="57"/>
      <c r="O498" s="57"/>
      <c r="P498" s="57"/>
      <c r="Q498" s="57"/>
      <c r="R498" s="57"/>
      <c r="S498" s="119"/>
      <c r="T498" s="57"/>
      <c r="AD498" s="122"/>
    </row>
    <row r="499" spans="1:30" ht="12.75" hidden="1" customHeight="1" x14ac:dyDescent="0.2">
      <c r="A499" s="121"/>
      <c r="D499" s="117"/>
      <c r="E499" s="117"/>
      <c r="I499" s="118"/>
      <c r="J499" s="13"/>
      <c r="K499" s="270"/>
      <c r="L499" s="57"/>
      <c r="M499" s="119"/>
      <c r="N499" s="57"/>
      <c r="O499" s="57"/>
      <c r="P499" s="57"/>
      <c r="Q499" s="57"/>
      <c r="R499" s="57"/>
      <c r="S499" s="119"/>
      <c r="T499" s="57"/>
      <c r="AD499" s="122"/>
    </row>
    <row r="500" spans="1:30" ht="12.75" hidden="1" customHeight="1" x14ac:dyDescent="0.2">
      <c r="A500" s="121"/>
      <c r="D500" s="117"/>
      <c r="E500" s="117"/>
      <c r="I500" s="118"/>
      <c r="J500" s="13"/>
      <c r="K500" s="270"/>
      <c r="L500" s="57"/>
      <c r="M500" s="119"/>
      <c r="N500" s="57"/>
      <c r="O500" s="57"/>
      <c r="P500" s="57"/>
      <c r="Q500" s="57"/>
      <c r="R500" s="57"/>
      <c r="S500" s="119"/>
      <c r="T500" s="57"/>
      <c r="AD500" s="122"/>
    </row>
    <row r="501" spans="1:30" ht="12.75" hidden="1" customHeight="1" x14ac:dyDescent="0.2">
      <c r="A501" s="121"/>
      <c r="D501" s="117"/>
      <c r="E501" s="117"/>
      <c r="I501" s="118"/>
      <c r="J501" s="13"/>
      <c r="K501" s="270"/>
      <c r="L501" s="57"/>
      <c r="M501" s="119"/>
      <c r="N501" s="57"/>
      <c r="O501" s="57"/>
      <c r="P501" s="57"/>
      <c r="Q501" s="57"/>
      <c r="R501" s="57"/>
      <c r="S501" s="119"/>
      <c r="T501" s="57"/>
      <c r="AD501" s="122"/>
    </row>
    <row r="502" spans="1:30" ht="12.75" hidden="1" customHeight="1" x14ac:dyDescent="0.2">
      <c r="A502" s="121"/>
      <c r="D502" s="117"/>
      <c r="E502" s="117"/>
      <c r="I502" s="118"/>
      <c r="J502" s="13"/>
      <c r="K502" s="270"/>
      <c r="L502" s="57"/>
      <c r="M502" s="119"/>
      <c r="N502" s="57"/>
      <c r="O502" s="57"/>
      <c r="P502" s="57"/>
      <c r="Q502" s="57"/>
      <c r="R502" s="57"/>
      <c r="S502" s="119"/>
      <c r="T502" s="57"/>
      <c r="AD502" s="122"/>
    </row>
    <row r="503" spans="1:30" ht="12.75" hidden="1" customHeight="1" x14ac:dyDescent="0.2">
      <c r="A503" s="121"/>
      <c r="D503" s="117"/>
      <c r="E503" s="117"/>
      <c r="I503" s="118"/>
      <c r="J503" s="13"/>
      <c r="K503" s="270"/>
      <c r="L503" s="57"/>
      <c r="M503" s="119"/>
      <c r="N503" s="57"/>
      <c r="O503" s="57"/>
      <c r="P503" s="57"/>
      <c r="Q503" s="57"/>
      <c r="R503" s="57"/>
      <c r="S503" s="119"/>
      <c r="T503" s="57"/>
      <c r="AD503" s="122"/>
    </row>
    <row r="504" spans="1:30" ht="12.75" hidden="1" customHeight="1" x14ac:dyDescent="0.2">
      <c r="A504" s="121"/>
      <c r="D504" s="117"/>
      <c r="E504" s="117"/>
      <c r="I504" s="118"/>
      <c r="J504" s="13"/>
      <c r="K504" s="270"/>
      <c r="L504" s="57"/>
      <c r="M504" s="119"/>
      <c r="N504" s="57"/>
      <c r="O504" s="57"/>
      <c r="P504" s="57"/>
      <c r="Q504" s="57"/>
      <c r="R504" s="57"/>
      <c r="S504" s="119"/>
      <c r="T504" s="57"/>
      <c r="AD504" s="122"/>
    </row>
    <row r="505" spans="1:30" ht="12.75" hidden="1" customHeight="1" x14ac:dyDescent="0.2">
      <c r="A505" s="121"/>
      <c r="D505" s="117"/>
      <c r="E505" s="117"/>
      <c r="I505" s="118"/>
      <c r="J505" s="13"/>
      <c r="K505" s="270"/>
      <c r="L505" s="57"/>
      <c r="M505" s="119"/>
      <c r="N505" s="57"/>
      <c r="O505" s="57"/>
      <c r="P505" s="57"/>
      <c r="Q505" s="57"/>
      <c r="R505" s="57"/>
      <c r="S505" s="119"/>
      <c r="T505" s="57"/>
      <c r="AD505" s="122"/>
    </row>
    <row r="506" spans="1:30" ht="12.75" hidden="1" customHeight="1" x14ac:dyDescent="0.2">
      <c r="A506" s="121"/>
      <c r="D506" s="117"/>
      <c r="E506" s="117"/>
      <c r="I506" s="118"/>
      <c r="J506" s="13"/>
      <c r="K506" s="270"/>
      <c r="L506" s="57"/>
      <c r="M506" s="119"/>
      <c r="N506" s="57"/>
      <c r="O506" s="57"/>
      <c r="P506" s="57"/>
      <c r="Q506" s="57"/>
      <c r="R506" s="57"/>
      <c r="S506" s="119"/>
      <c r="T506" s="57"/>
      <c r="AD506" s="122"/>
    </row>
    <row r="507" spans="1:30" ht="12.75" hidden="1" customHeight="1" x14ac:dyDescent="0.2">
      <c r="A507" s="121"/>
      <c r="D507" s="117"/>
      <c r="E507" s="117"/>
      <c r="I507" s="118"/>
      <c r="J507" s="13"/>
      <c r="K507" s="270"/>
      <c r="L507" s="57"/>
      <c r="M507" s="119"/>
      <c r="N507" s="57"/>
      <c r="O507" s="57"/>
      <c r="P507" s="57"/>
      <c r="Q507" s="57"/>
      <c r="R507" s="57"/>
      <c r="S507" s="119"/>
      <c r="T507" s="57"/>
      <c r="AD507" s="122"/>
    </row>
    <row r="508" spans="1:30" ht="12.75" hidden="1" customHeight="1" x14ac:dyDescent="0.2">
      <c r="A508" s="121"/>
      <c r="D508" s="117"/>
      <c r="E508" s="117"/>
      <c r="I508" s="118"/>
      <c r="J508" s="13"/>
      <c r="K508" s="270"/>
      <c r="L508" s="57"/>
      <c r="M508" s="119"/>
      <c r="N508" s="57"/>
      <c r="O508" s="57"/>
      <c r="P508" s="57"/>
      <c r="Q508" s="57"/>
      <c r="R508" s="57"/>
      <c r="S508" s="119"/>
      <c r="T508" s="57"/>
      <c r="AD508" s="122"/>
    </row>
    <row r="509" spans="1:30" ht="12.75" hidden="1" customHeight="1" x14ac:dyDescent="0.2">
      <c r="A509" s="121"/>
      <c r="D509" s="117"/>
      <c r="E509" s="117"/>
      <c r="I509" s="118"/>
      <c r="J509" s="13"/>
      <c r="K509" s="270"/>
      <c r="L509" s="57"/>
      <c r="M509" s="119"/>
      <c r="N509" s="57"/>
      <c r="O509" s="57"/>
      <c r="P509" s="57"/>
      <c r="Q509" s="57"/>
      <c r="R509" s="57"/>
      <c r="S509" s="119"/>
      <c r="T509" s="57"/>
      <c r="AD509" s="122"/>
    </row>
    <row r="510" spans="1:30" ht="12.75" hidden="1" customHeight="1" x14ac:dyDescent="0.2">
      <c r="A510" s="121"/>
      <c r="D510" s="117"/>
      <c r="E510" s="117"/>
      <c r="I510" s="118"/>
      <c r="J510" s="13"/>
      <c r="K510" s="270"/>
      <c r="L510" s="57"/>
      <c r="M510" s="119"/>
      <c r="N510" s="57"/>
      <c r="O510" s="57"/>
      <c r="P510" s="57"/>
      <c r="Q510" s="57"/>
      <c r="R510" s="57"/>
      <c r="S510" s="119"/>
      <c r="T510" s="57"/>
      <c r="AD510" s="122"/>
    </row>
    <row r="511" spans="1:30" ht="12.75" hidden="1" customHeight="1" x14ac:dyDescent="0.2">
      <c r="A511" s="121"/>
      <c r="D511" s="117"/>
      <c r="E511" s="117"/>
      <c r="I511" s="118"/>
      <c r="J511" s="13"/>
      <c r="K511" s="270"/>
      <c r="L511" s="57"/>
      <c r="M511" s="119"/>
      <c r="N511" s="57"/>
      <c r="O511" s="57"/>
      <c r="P511" s="57"/>
      <c r="Q511" s="57"/>
      <c r="R511" s="57"/>
      <c r="S511" s="119"/>
      <c r="T511" s="57"/>
      <c r="AD511" s="122"/>
    </row>
    <row r="512" spans="1:30" ht="12.75" hidden="1" customHeight="1" x14ac:dyDescent="0.2">
      <c r="A512" s="121"/>
      <c r="D512" s="117"/>
      <c r="E512" s="117"/>
      <c r="I512" s="118"/>
      <c r="J512" s="13"/>
      <c r="K512" s="270"/>
      <c r="L512" s="57"/>
      <c r="M512" s="119"/>
      <c r="N512" s="57"/>
      <c r="O512" s="57"/>
      <c r="P512" s="57"/>
      <c r="Q512" s="57"/>
      <c r="R512" s="57"/>
      <c r="S512" s="119"/>
      <c r="T512" s="57"/>
      <c r="AD512" s="122"/>
    </row>
    <row r="513" spans="1:30" ht="12.75" hidden="1" customHeight="1" x14ac:dyDescent="0.2">
      <c r="A513" s="121"/>
      <c r="D513" s="117"/>
      <c r="E513" s="117"/>
      <c r="I513" s="118"/>
      <c r="J513" s="13"/>
      <c r="K513" s="270"/>
      <c r="L513" s="57"/>
      <c r="M513" s="119"/>
      <c r="N513" s="57"/>
      <c r="O513" s="57"/>
      <c r="P513" s="57"/>
      <c r="Q513" s="57"/>
      <c r="R513" s="57"/>
      <c r="S513" s="119"/>
      <c r="T513" s="57"/>
      <c r="AD513" s="122"/>
    </row>
    <row r="514" spans="1:30" ht="12.75" hidden="1" customHeight="1" x14ac:dyDescent="0.2">
      <c r="A514" s="121"/>
      <c r="D514" s="117"/>
      <c r="E514" s="117"/>
      <c r="I514" s="118"/>
      <c r="J514" s="13"/>
      <c r="K514" s="270"/>
      <c r="L514" s="57"/>
      <c r="M514" s="119"/>
      <c r="N514" s="57"/>
      <c r="O514" s="57"/>
      <c r="P514" s="57"/>
      <c r="Q514" s="57"/>
      <c r="R514" s="57"/>
      <c r="S514" s="119"/>
      <c r="T514" s="57"/>
      <c r="AD514" s="122"/>
    </row>
    <row r="515" spans="1:30" ht="12.75" hidden="1" customHeight="1" x14ac:dyDescent="0.2">
      <c r="A515" s="121"/>
      <c r="D515" s="117"/>
      <c r="E515" s="117"/>
      <c r="I515" s="118"/>
      <c r="J515" s="13"/>
      <c r="K515" s="270"/>
      <c r="L515" s="57"/>
      <c r="M515" s="119"/>
      <c r="N515" s="57"/>
      <c r="O515" s="57"/>
      <c r="P515" s="57"/>
      <c r="Q515" s="57"/>
      <c r="R515" s="57"/>
      <c r="S515" s="119"/>
      <c r="T515" s="57"/>
      <c r="AD515" s="122"/>
    </row>
    <row r="516" spans="1:30" ht="12.75" hidden="1" customHeight="1" x14ac:dyDescent="0.2">
      <c r="A516" s="121"/>
      <c r="D516" s="117"/>
      <c r="E516" s="117"/>
      <c r="I516" s="118"/>
      <c r="J516" s="13"/>
      <c r="K516" s="270"/>
      <c r="L516" s="57"/>
      <c r="M516" s="119"/>
      <c r="N516" s="57"/>
      <c r="O516" s="57"/>
      <c r="P516" s="57"/>
      <c r="Q516" s="57"/>
      <c r="R516" s="57"/>
      <c r="S516" s="119"/>
      <c r="T516" s="57"/>
      <c r="AD516" s="122"/>
    </row>
    <row r="517" spans="1:30" ht="12.75" hidden="1" customHeight="1" x14ac:dyDescent="0.2">
      <c r="A517" s="121"/>
      <c r="D517" s="117"/>
      <c r="E517" s="117"/>
      <c r="I517" s="118"/>
      <c r="J517" s="13"/>
      <c r="K517" s="270"/>
      <c r="L517" s="57"/>
      <c r="M517" s="119"/>
      <c r="N517" s="57"/>
      <c r="O517" s="57"/>
      <c r="P517" s="57"/>
      <c r="Q517" s="57"/>
      <c r="R517" s="57"/>
      <c r="S517" s="119"/>
      <c r="T517" s="57"/>
      <c r="AD517" s="122"/>
    </row>
    <row r="518" spans="1:30" ht="12.75" hidden="1" customHeight="1" x14ac:dyDescent="0.2">
      <c r="A518" s="121"/>
      <c r="D518" s="117"/>
      <c r="E518" s="117"/>
      <c r="I518" s="118"/>
      <c r="J518" s="13"/>
      <c r="K518" s="270"/>
      <c r="L518" s="57"/>
      <c r="M518" s="119"/>
      <c r="N518" s="57"/>
      <c r="O518" s="57"/>
      <c r="P518" s="57"/>
      <c r="Q518" s="57"/>
      <c r="R518" s="57"/>
      <c r="S518" s="119"/>
      <c r="T518" s="57"/>
      <c r="AD518" s="122"/>
    </row>
    <row r="519" spans="1:30" ht="12.75" hidden="1" customHeight="1" x14ac:dyDescent="0.2">
      <c r="A519" s="121"/>
      <c r="D519" s="117"/>
      <c r="E519" s="117"/>
      <c r="I519" s="118"/>
      <c r="J519" s="13"/>
      <c r="K519" s="270"/>
      <c r="L519" s="57"/>
      <c r="M519" s="119"/>
      <c r="N519" s="57"/>
      <c r="O519" s="57"/>
      <c r="P519" s="57"/>
      <c r="Q519" s="57"/>
      <c r="R519" s="57"/>
      <c r="S519" s="119"/>
      <c r="T519" s="57"/>
      <c r="AD519" s="122"/>
    </row>
    <row r="520" spans="1:30" ht="12.75" hidden="1" customHeight="1" x14ac:dyDescent="0.2">
      <c r="A520" s="121"/>
      <c r="D520" s="117"/>
      <c r="E520" s="117"/>
      <c r="I520" s="118"/>
      <c r="J520" s="13"/>
      <c r="K520" s="270"/>
      <c r="L520" s="57"/>
      <c r="M520" s="119"/>
      <c r="N520" s="57"/>
      <c r="O520" s="57"/>
      <c r="P520" s="57"/>
      <c r="Q520" s="57"/>
      <c r="R520" s="57"/>
      <c r="S520" s="119"/>
      <c r="T520" s="57"/>
      <c r="AD520" s="122"/>
    </row>
    <row r="521" spans="1:30" ht="12.75" hidden="1" customHeight="1" x14ac:dyDescent="0.2">
      <c r="A521" s="121"/>
      <c r="D521" s="117"/>
      <c r="E521" s="117"/>
      <c r="I521" s="118"/>
      <c r="J521" s="13"/>
      <c r="K521" s="270"/>
      <c r="L521" s="57"/>
      <c r="M521" s="119"/>
      <c r="N521" s="57"/>
      <c r="O521" s="57"/>
      <c r="P521" s="57"/>
      <c r="Q521" s="57"/>
      <c r="R521" s="57"/>
      <c r="S521" s="119"/>
      <c r="T521" s="57"/>
      <c r="AD521" s="122"/>
    </row>
    <row r="522" spans="1:30" ht="12.75" hidden="1" customHeight="1" x14ac:dyDescent="0.2">
      <c r="A522" s="121"/>
      <c r="D522" s="117"/>
      <c r="E522" s="117"/>
      <c r="I522" s="118"/>
      <c r="J522" s="13"/>
      <c r="K522" s="270"/>
      <c r="L522" s="57"/>
      <c r="M522" s="119"/>
      <c r="N522" s="57"/>
      <c r="O522" s="57"/>
      <c r="P522" s="57"/>
      <c r="Q522" s="57"/>
      <c r="R522" s="57"/>
      <c r="S522" s="119"/>
      <c r="T522" s="57"/>
      <c r="AD522" s="122"/>
    </row>
    <row r="523" spans="1:30" ht="12.75" hidden="1" customHeight="1" x14ac:dyDescent="0.2">
      <c r="A523" s="121"/>
      <c r="D523" s="117"/>
      <c r="E523" s="117"/>
      <c r="I523" s="118"/>
      <c r="J523" s="13"/>
      <c r="K523" s="270"/>
      <c r="L523" s="57"/>
      <c r="M523" s="119"/>
      <c r="N523" s="57"/>
      <c r="O523" s="57"/>
      <c r="P523" s="57"/>
      <c r="Q523" s="57"/>
      <c r="R523" s="57"/>
      <c r="S523" s="119"/>
      <c r="T523" s="57"/>
      <c r="AD523" s="122"/>
    </row>
    <row r="524" spans="1:30" ht="12.75" hidden="1" customHeight="1" x14ac:dyDescent="0.2">
      <c r="A524" s="121"/>
      <c r="D524" s="117"/>
      <c r="E524" s="117"/>
      <c r="I524" s="118"/>
      <c r="J524" s="13"/>
      <c r="K524" s="270"/>
      <c r="L524" s="57"/>
      <c r="M524" s="119"/>
      <c r="N524" s="57"/>
      <c r="O524" s="57"/>
      <c r="P524" s="57"/>
      <c r="Q524" s="57"/>
      <c r="R524" s="57"/>
      <c r="S524" s="119"/>
      <c r="T524" s="57"/>
      <c r="AD524" s="122"/>
    </row>
    <row r="525" spans="1:30" ht="12.75" hidden="1" customHeight="1" x14ac:dyDescent="0.2">
      <c r="A525" s="121"/>
      <c r="D525" s="117"/>
      <c r="E525" s="117"/>
      <c r="I525" s="118"/>
      <c r="J525" s="13"/>
      <c r="K525" s="270"/>
      <c r="L525" s="57"/>
      <c r="M525" s="119"/>
      <c r="N525" s="57"/>
      <c r="O525" s="57"/>
      <c r="P525" s="57"/>
      <c r="Q525" s="57"/>
      <c r="R525" s="57"/>
      <c r="S525" s="119"/>
      <c r="T525" s="57"/>
      <c r="AD525" s="122"/>
    </row>
    <row r="526" spans="1:30" ht="12.75" hidden="1" customHeight="1" x14ac:dyDescent="0.2">
      <c r="A526" s="121"/>
      <c r="D526" s="117"/>
      <c r="E526" s="117"/>
      <c r="I526" s="118"/>
      <c r="J526" s="13"/>
      <c r="K526" s="270"/>
      <c r="L526" s="57"/>
      <c r="M526" s="119"/>
      <c r="N526" s="57"/>
      <c r="O526" s="57"/>
      <c r="P526" s="57"/>
      <c r="Q526" s="57"/>
      <c r="R526" s="57"/>
      <c r="S526" s="119"/>
      <c r="T526" s="57"/>
      <c r="AD526" s="122"/>
    </row>
    <row r="527" spans="1:30" ht="12.75" hidden="1" customHeight="1" x14ac:dyDescent="0.2">
      <c r="A527" s="121"/>
      <c r="D527" s="117"/>
      <c r="E527" s="117"/>
      <c r="I527" s="118"/>
      <c r="J527" s="13"/>
      <c r="K527" s="270"/>
      <c r="L527" s="57"/>
      <c r="M527" s="119"/>
      <c r="N527" s="57"/>
      <c r="O527" s="57"/>
      <c r="P527" s="57"/>
      <c r="Q527" s="57"/>
      <c r="R527" s="57"/>
      <c r="S527" s="119"/>
      <c r="T527" s="57"/>
      <c r="AD527" s="122"/>
    </row>
    <row r="528" spans="1:30" ht="12.75" hidden="1" customHeight="1" x14ac:dyDescent="0.2">
      <c r="A528" s="121"/>
      <c r="D528" s="117"/>
      <c r="E528" s="117"/>
      <c r="I528" s="118"/>
      <c r="J528" s="13"/>
      <c r="K528" s="270"/>
      <c r="L528" s="57"/>
      <c r="M528" s="119"/>
      <c r="N528" s="57"/>
      <c r="O528" s="57"/>
      <c r="P528" s="57"/>
      <c r="Q528" s="57"/>
      <c r="R528" s="57"/>
      <c r="S528" s="119"/>
      <c r="T528" s="57"/>
      <c r="AD528" s="122"/>
    </row>
    <row r="529" spans="1:30" ht="12.75" hidden="1" customHeight="1" x14ac:dyDescent="0.2">
      <c r="A529" s="121"/>
      <c r="D529" s="117"/>
      <c r="E529" s="117"/>
      <c r="I529" s="118"/>
      <c r="J529" s="13"/>
      <c r="K529" s="270"/>
      <c r="L529" s="57"/>
      <c r="M529" s="119"/>
      <c r="N529" s="57"/>
      <c r="O529" s="57"/>
      <c r="P529" s="57"/>
      <c r="Q529" s="57"/>
      <c r="R529" s="57"/>
      <c r="S529" s="119"/>
      <c r="T529" s="57"/>
      <c r="AD529" s="122"/>
    </row>
    <row r="530" spans="1:30" ht="12.75" hidden="1" customHeight="1" x14ac:dyDescent="0.2">
      <c r="A530" s="121"/>
      <c r="D530" s="117"/>
      <c r="E530" s="117"/>
      <c r="I530" s="118"/>
      <c r="J530" s="13"/>
      <c r="K530" s="270"/>
      <c r="L530" s="57"/>
      <c r="M530" s="119"/>
      <c r="N530" s="57"/>
      <c r="O530" s="57"/>
      <c r="P530" s="57"/>
      <c r="Q530" s="57"/>
      <c r="R530" s="57"/>
      <c r="S530" s="119"/>
      <c r="T530" s="57"/>
      <c r="AD530" s="122"/>
    </row>
    <row r="531" spans="1:30" ht="12.75" hidden="1" customHeight="1" x14ac:dyDescent="0.2">
      <c r="A531" s="121"/>
      <c r="D531" s="117"/>
      <c r="E531" s="117"/>
      <c r="I531" s="118"/>
      <c r="J531" s="13"/>
      <c r="K531" s="270"/>
      <c r="L531" s="57"/>
      <c r="M531" s="119"/>
      <c r="N531" s="57"/>
      <c r="O531" s="57"/>
      <c r="P531" s="57"/>
      <c r="Q531" s="57"/>
      <c r="R531" s="57"/>
      <c r="S531" s="119"/>
      <c r="T531" s="57"/>
      <c r="AD531" s="122"/>
    </row>
    <row r="532" spans="1:30" ht="12.75" hidden="1" customHeight="1" x14ac:dyDescent="0.2">
      <c r="A532" s="121"/>
      <c r="D532" s="117"/>
      <c r="E532" s="117"/>
      <c r="I532" s="118"/>
      <c r="J532" s="13"/>
      <c r="K532" s="270"/>
      <c r="L532" s="57"/>
      <c r="M532" s="119"/>
      <c r="N532" s="57"/>
      <c r="O532" s="57"/>
      <c r="P532" s="57"/>
      <c r="Q532" s="57"/>
      <c r="R532" s="57"/>
      <c r="S532" s="119"/>
      <c r="T532" s="57"/>
      <c r="AD532" s="122"/>
    </row>
    <row r="533" spans="1:30" ht="12.75" hidden="1" customHeight="1" x14ac:dyDescent="0.2">
      <c r="A533" s="121"/>
      <c r="D533" s="117"/>
      <c r="E533" s="117"/>
      <c r="I533" s="118"/>
      <c r="J533" s="13"/>
      <c r="K533" s="270"/>
      <c r="L533" s="57"/>
      <c r="M533" s="119"/>
      <c r="N533" s="57"/>
      <c r="O533" s="57"/>
      <c r="P533" s="57"/>
      <c r="Q533" s="57"/>
      <c r="R533" s="57"/>
      <c r="S533" s="119"/>
      <c r="T533" s="57"/>
      <c r="AD533" s="122"/>
    </row>
    <row r="534" spans="1:30" ht="12.75" hidden="1" customHeight="1" x14ac:dyDescent="0.2">
      <c r="A534" s="121"/>
      <c r="D534" s="117"/>
      <c r="E534" s="117"/>
      <c r="I534" s="118"/>
      <c r="J534" s="13"/>
      <c r="K534" s="270"/>
      <c r="L534" s="57"/>
      <c r="M534" s="119"/>
      <c r="N534" s="57"/>
      <c r="O534" s="57"/>
      <c r="P534" s="57"/>
      <c r="Q534" s="57"/>
      <c r="R534" s="57"/>
      <c r="S534" s="119"/>
      <c r="T534" s="57"/>
      <c r="AD534" s="122"/>
    </row>
    <row r="535" spans="1:30" ht="12.75" hidden="1" customHeight="1" x14ac:dyDescent="0.2">
      <c r="A535" s="121"/>
      <c r="D535" s="117"/>
      <c r="E535" s="117"/>
      <c r="I535" s="118"/>
      <c r="J535" s="13"/>
      <c r="K535" s="270"/>
      <c r="L535" s="57"/>
      <c r="M535" s="119"/>
      <c r="N535" s="57"/>
      <c r="O535" s="57"/>
      <c r="P535" s="57"/>
      <c r="Q535" s="57"/>
      <c r="R535" s="57"/>
      <c r="S535" s="119"/>
      <c r="T535" s="57"/>
      <c r="AD535" s="122"/>
    </row>
    <row r="536" spans="1:30" ht="12.75" hidden="1" customHeight="1" x14ac:dyDescent="0.2">
      <c r="A536" s="121"/>
      <c r="D536" s="117"/>
      <c r="E536" s="117"/>
      <c r="I536" s="118"/>
      <c r="J536" s="13"/>
      <c r="K536" s="270"/>
      <c r="L536" s="57"/>
      <c r="M536" s="119"/>
      <c r="N536" s="57"/>
      <c r="O536" s="57"/>
      <c r="P536" s="57"/>
      <c r="Q536" s="57"/>
      <c r="R536" s="57"/>
      <c r="S536" s="119"/>
      <c r="T536" s="57"/>
      <c r="AD536" s="122"/>
    </row>
    <row r="537" spans="1:30" ht="12.75" hidden="1" customHeight="1" x14ac:dyDescent="0.2">
      <c r="A537" s="121"/>
      <c r="D537" s="117"/>
      <c r="E537" s="117"/>
      <c r="I537" s="118"/>
      <c r="J537" s="13"/>
      <c r="K537" s="270"/>
      <c r="L537" s="57"/>
      <c r="M537" s="119"/>
      <c r="N537" s="57"/>
      <c r="O537" s="57"/>
      <c r="P537" s="57"/>
      <c r="Q537" s="57"/>
      <c r="R537" s="57"/>
      <c r="S537" s="119"/>
      <c r="T537" s="57"/>
      <c r="AD537" s="122"/>
    </row>
    <row r="538" spans="1:30" ht="12.75" hidden="1" customHeight="1" x14ac:dyDescent="0.2">
      <c r="A538" s="121"/>
      <c r="D538" s="117"/>
      <c r="E538" s="117"/>
      <c r="I538" s="118"/>
      <c r="J538" s="13"/>
      <c r="K538" s="270"/>
      <c r="L538" s="57"/>
      <c r="M538" s="119"/>
      <c r="N538" s="57"/>
      <c r="O538" s="57"/>
      <c r="P538" s="57"/>
      <c r="Q538" s="57"/>
      <c r="R538" s="57"/>
      <c r="S538" s="119"/>
      <c r="T538" s="57"/>
      <c r="AD538" s="122"/>
    </row>
    <row r="539" spans="1:30" ht="12.75" hidden="1" customHeight="1" x14ac:dyDescent="0.2">
      <c r="A539" s="121"/>
      <c r="D539" s="117"/>
      <c r="E539" s="117"/>
      <c r="I539" s="118"/>
      <c r="J539" s="13"/>
      <c r="K539" s="270"/>
      <c r="L539" s="57"/>
      <c r="M539" s="119"/>
      <c r="N539" s="57"/>
      <c r="O539" s="57"/>
      <c r="P539" s="57"/>
      <c r="Q539" s="57"/>
      <c r="R539" s="57"/>
      <c r="S539" s="119"/>
      <c r="T539" s="57"/>
      <c r="AD539" s="122"/>
    </row>
    <row r="540" spans="1:30" ht="12.75" hidden="1" customHeight="1" x14ac:dyDescent="0.2">
      <c r="A540" s="121"/>
      <c r="D540" s="117"/>
      <c r="E540" s="117"/>
      <c r="I540" s="118"/>
      <c r="J540" s="13"/>
      <c r="K540" s="270"/>
      <c r="L540" s="57"/>
      <c r="M540" s="119"/>
      <c r="N540" s="57"/>
      <c r="O540" s="57"/>
      <c r="P540" s="57"/>
      <c r="Q540" s="57"/>
      <c r="R540" s="57"/>
      <c r="S540" s="119"/>
      <c r="T540" s="57"/>
      <c r="AD540" s="122"/>
    </row>
    <row r="541" spans="1:30" ht="12.75" hidden="1" customHeight="1" x14ac:dyDescent="0.2">
      <c r="A541" s="121"/>
      <c r="D541" s="117"/>
      <c r="E541" s="117"/>
      <c r="I541" s="118"/>
      <c r="J541" s="13"/>
      <c r="K541" s="270"/>
      <c r="L541" s="57"/>
      <c r="M541" s="119"/>
      <c r="N541" s="57"/>
      <c r="O541" s="57"/>
      <c r="P541" s="57"/>
      <c r="Q541" s="57"/>
      <c r="R541" s="57"/>
      <c r="S541" s="119"/>
      <c r="T541" s="57"/>
      <c r="AD541" s="122"/>
    </row>
    <row r="542" spans="1:30" ht="12.75" hidden="1" customHeight="1" x14ac:dyDescent="0.2">
      <c r="A542" s="121"/>
      <c r="D542" s="117"/>
      <c r="E542" s="117"/>
      <c r="I542" s="118"/>
      <c r="J542" s="13"/>
      <c r="K542" s="270"/>
      <c r="L542" s="57"/>
      <c r="M542" s="119"/>
      <c r="N542" s="57"/>
      <c r="O542" s="57"/>
      <c r="P542" s="57"/>
      <c r="Q542" s="57"/>
      <c r="R542" s="57"/>
      <c r="S542" s="119"/>
      <c r="T542" s="57"/>
      <c r="AD542" s="122"/>
    </row>
    <row r="543" spans="1:30" ht="12.75" hidden="1" customHeight="1" x14ac:dyDescent="0.2">
      <c r="A543" s="121"/>
      <c r="D543" s="117"/>
      <c r="E543" s="117"/>
      <c r="I543" s="118"/>
      <c r="J543" s="13"/>
      <c r="K543" s="270"/>
      <c r="L543" s="57"/>
      <c r="M543" s="119"/>
      <c r="N543" s="57"/>
      <c r="O543" s="57"/>
      <c r="P543" s="57"/>
      <c r="Q543" s="57"/>
      <c r="R543" s="57"/>
      <c r="S543" s="119"/>
      <c r="T543" s="57"/>
      <c r="AD543" s="122"/>
    </row>
    <row r="544" spans="1:30" ht="12.75" hidden="1" customHeight="1" x14ac:dyDescent="0.2">
      <c r="A544" s="121"/>
      <c r="D544" s="117"/>
      <c r="E544" s="117"/>
      <c r="I544" s="118"/>
      <c r="J544" s="13"/>
      <c r="K544" s="270"/>
      <c r="L544" s="57"/>
      <c r="M544" s="119"/>
      <c r="N544" s="57"/>
      <c r="O544" s="57"/>
      <c r="P544" s="57"/>
      <c r="Q544" s="57"/>
      <c r="R544" s="57"/>
      <c r="S544" s="119"/>
      <c r="T544" s="57"/>
      <c r="AD544" s="122"/>
    </row>
    <row r="545" spans="1:30" ht="12.75" hidden="1" customHeight="1" x14ac:dyDescent="0.2">
      <c r="A545" s="121"/>
      <c r="D545" s="117"/>
      <c r="E545" s="117"/>
      <c r="I545" s="118"/>
      <c r="J545" s="13"/>
      <c r="K545" s="270"/>
      <c r="L545" s="57"/>
      <c r="M545" s="119"/>
      <c r="N545" s="57"/>
      <c r="O545" s="57"/>
      <c r="P545" s="57"/>
      <c r="Q545" s="57"/>
      <c r="R545" s="57"/>
      <c r="S545" s="119"/>
      <c r="T545" s="57"/>
      <c r="AD545" s="122"/>
    </row>
    <row r="546" spans="1:30" ht="12.75" hidden="1" customHeight="1" x14ac:dyDescent="0.2">
      <c r="A546" s="121"/>
      <c r="D546" s="117"/>
      <c r="E546" s="117"/>
      <c r="I546" s="118"/>
      <c r="J546" s="13"/>
      <c r="K546" s="270"/>
      <c r="L546" s="57"/>
      <c r="M546" s="119"/>
      <c r="N546" s="57"/>
      <c r="O546" s="57"/>
      <c r="P546" s="57"/>
      <c r="Q546" s="57"/>
      <c r="R546" s="57"/>
      <c r="S546" s="119"/>
      <c r="T546" s="57"/>
      <c r="AD546" s="122"/>
    </row>
    <row r="547" spans="1:30" ht="12.75" hidden="1" customHeight="1" x14ac:dyDescent="0.2">
      <c r="A547" s="121"/>
      <c r="D547" s="117"/>
      <c r="E547" s="117"/>
      <c r="I547" s="118"/>
      <c r="J547" s="13"/>
      <c r="K547" s="270"/>
      <c r="L547" s="57"/>
      <c r="M547" s="119"/>
      <c r="N547" s="57"/>
      <c r="O547" s="57"/>
      <c r="P547" s="57"/>
      <c r="Q547" s="57"/>
      <c r="R547" s="57"/>
      <c r="S547" s="119"/>
      <c r="T547" s="57"/>
      <c r="AD547" s="122"/>
    </row>
    <row r="548" spans="1:30" ht="12.75" hidden="1" customHeight="1" x14ac:dyDescent="0.2">
      <c r="A548" s="121"/>
      <c r="D548" s="117"/>
      <c r="E548" s="117"/>
      <c r="I548" s="118"/>
      <c r="J548" s="13"/>
      <c r="K548" s="270"/>
      <c r="L548" s="57"/>
      <c r="M548" s="119"/>
      <c r="N548" s="57"/>
      <c r="O548" s="57"/>
      <c r="P548" s="57"/>
      <c r="Q548" s="57"/>
      <c r="R548" s="57"/>
      <c r="S548" s="119"/>
      <c r="T548" s="57"/>
      <c r="AD548" s="122"/>
    </row>
    <row r="549" spans="1:30" ht="12.75" hidden="1" customHeight="1" x14ac:dyDescent="0.2">
      <c r="A549" s="121"/>
      <c r="D549" s="117"/>
      <c r="E549" s="117"/>
      <c r="I549" s="118"/>
      <c r="J549" s="13"/>
      <c r="K549" s="270"/>
      <c r="L549" s="57"/>
      <c r="M549" s="119"/>
      <c r="N549" s="57"/>
      <c r="O549" s="57"/>
      <c r="P549" s="57"/>
      <c r="Q549" s="57"/>
      <c r="R549" s="57"/>
      <c r="S549" s="119"/>
      <c r="T549" s="57"/>
      <c r="AD549" s="122"/>
    </row>
    <row r="550" spans="1:30" ht="12.75" hidden="1" customHeight="1" x14ac:dyDescent="0.2">
      <c r="A550" s="121"/>
      <c r="D550" s="117"/>
      <c r="E550" s="117"/>
      <c r="I550" s="118"/>
      <c r="J550" s="13"/>
      <c r="K550" s="270"/>
      <c r="L550" s="57"/>
      <c r="M550" s="119"/>
      <c r="N550" s="57"/>
      <c r="O550" s="57"/>
      <c r="P550" s="57"/>
      <c r="Q550" s="57"/>
      <c r="R550" s="57"/>
      <c r="S550" s="119"/>
      <c r="T550" s="57"/>
      <c r="AD550" s="122"/>
    </row>
    <row r="551" spans="1:30" ht="12.75" hidden="1" customHeight="1" x14ac:dyDescent="0.2">
      <c r="A551" s="121"/>
      <c r="D551" s="117"/>
      <c r="E551" s="117"/>
      <c r="I551" s="118"/>
      <c r="J551" s="13"/>
      <c r="K551" s="270"/>
      <c r="L551" s="57"/>
      <c r="M551" s="119"/>
      <c r="N551" s="57"/>
      <c r="O551" s="57"/>
      <c r="P551" s="57"/>
      <c r="Q551" s="57"/>
      <c r="R551" s="57"/>
      <c r="S551" s="119"/>
      <c r="T551" s="57"/>
      <c r="AD551" s="122"/>
    </row>
    <row r="552" spans="1:30" ht="12.75" hidden="1" customHeight="1" x14ac:dyDescent="0.2">
      <c r="A552" s="121"/>
      <c r="D552" s="117"/>
      <c r="E552" s="117"/>
      <c r="I552" s="118"/>
      <c r="J552" s="13"/>
      <c r="K552" s="270"/>
      <c r="L552" s="57"/>
      <c r="M552" s="119"/>
      <c r="N552" s="57"/>
      <c r="O552" s="57"/>
      <c r="P552" s="57"/>
      <c r="Q552" s="57"/>
      <c r="R552" s="57"/>
      <c r="S552" s="119"/>
      <c r="T552" s="57"/>
      <c r="AD552" s="122"/>
    </row>
    <row r="553" spans="1:30" ht="12.75" hidden="1" customHeight="1" x14ac:dyDescent="0.2">
      <c r="A553" s="121"/>
      <c r="D553" s="117"/>
      <c r="E553" s="117"/>
      <c r="I553" s="118"/>
      <c r="J553" s="13"/>
      <c r="K553" s="270"/>
      <c r="L553" s="57"/>
      <c r="M553" s="119"/>
      <c r="N553" s="57"/>
      <c r="O553" s="57"/>
      <c r="P553" s="57"/>
      <c r="Q553" s="57"/>
      <c r="R553" s="57"/>
      <c r="S553" s="119"/>
      <c r="T553" s="57"/>
      <c r="AD553" s="122"/>
    </row>
    <row r="554" spans="1:30" ht="12.75" hidden="1" customHeight="1" x14ac:dyDescent="0.2">
      <c r="A554" s="121"/>
      <c r="D554" s="117"/>
      <c r="E554" s="117"/>
      <c r="I554" s="118"/>
      <c r="J554" s="13"/>
      <c r="K554" s="270"/>
      <c r="L554" s="57"/>
      <c r="M554" s="119"/>
      <c r="N554" s="57"/>
      <c r="O554" s="57"/>
      <c r="P554" s="57"/>
      <c r="Q554" s="57"/>
      <c r="R554" s="57"/>
      <c r="S554" s="119"/>
      <c r="T554" s="57"/>
      <c r="AD554" s="122"/>
    </row>
    <row r="555" spans="1:30" ht="12.75" hidden="1" customHeight="1" x14ac:dyDescent="0.2">
      <c r="A555" s="121"/>
      <c r="D555" s="117"/>
      <c r="E555" s="117"/>
      <c r="I555" s="118"/>
      <c r="J555" s="13"/>
      <c r="K555" s="270"/>
      <c r="L555" s="57"/>
      <c r="M555" s="119"/>
      <c r="N555" s="57"/>
      <c r="O555" s="57"/>
      <c r="P555" s="57"/>
      <c r="Q555" s="57"/>
      <c r="R555" s="57"/>
      <c r="S555" s="119"/>
      <c r="T555" s="57"/>
      <c r="AD555" s="122"/>
    </row>
    <row r="556" spans="1:30" ht="12.75" hidden="1" customHeight="1" x14ac:dyDescent="0.2">
      <c r="A556" s="121"/>
      <c r="D556" s="117"/>
      <c r="E556" s="117"/>
      <c r="I556" s="118"/>
      <c r="J556" s="13"/>
      <c r="K556" s="270"/>
      <c r="L556" s="57"/>
      <c r="M556" s="119"/>
      <c r="N556" s="57"/>
      <c r="O556" s="57"/>
      <c r="P556" s="57"/>
      <c r="Q556" s="57"/>
      <c r="R556" s="57"/>
      <c r="S556" s="119"/>
      <c r="T556" s="57"/>
      <c r="AD556" s="122"/>
    </row>
    <row r="557" spans="1:30" ht="12.75" hidden="1" customHeight="1" x14ac:dyDescent="0.2">
      <c r="A557" s="121"/>
      <c r="D557" s="117"/>
      <c r="E557" s="117"/>
      <c r="I557" s="118"/>
      <c r="J557" s="13"/>
      <c r="K557" s="270"/>
      <c r="L557" s="57"/>
      <c r="M557" s="119"/>
      <c r="N557" s="57"/>
      <c r="O557" s="57"/>
      <c r="P557" s="57"/>
      <c r="Q557" s="57"/>
      <c r="R557" s="57"/>
      <c r="S557" s="119"/>
      <c r="T557" s="57"/>
      <c r="AD557" s="122"/>
    </row>
    <row r="558" spans="1:30" ht="12.75" hidden="1" customHeight="1" x14ac:dyDescent="0.2">
      <c r="A558" s="121"/>
      <c r="D558" s="117"/>
      <c r="E558" s="117"/>
      <c r="I558" s="118"/>
      <c r="J558" s="13"/>
      <c r="K558" s="270"/>
      <c r="L558" s="57"/>
      <c r="M558" s="119"/>
      <c r="N558" s="57"/>
      <c r="O558" s="57"/>
      <c r="P558" s="57"/>
      <c r="Q558" s="57"/>
      <c r="R558" s="57"/>
      <c r="S558" s="119"/>
      <c r="T558" s="57"/>
      <c r="AD558" s="122"/>
    </row>
    <row r="559" spans="1:30" ht="12.75" hidden="1" customHeight="1" x14ac:dyDescent="0.2">
      <c r="A559" s="121"/>
      <c r="D559" s="117"/>
      <c r="E559" s="117"/>
      <c r="I559" s="118"/>
      <c r="J559" s="13"/>
      <c r="K559" s="270"/>
      <c r="L559" s="57"/>
      <c r="M559" s="119"/>
      <c r="N559" s="57"/>
      <c r="O559" s="57"/>
      <c r="P559" s="57"/>
      <c r="Q559" s="57"/>
      <c r="R559" s="57"/>
      <c r="S559" s="119"/>
      <c r="T559" s="57"/>
      <c r="AD559" s="122"/>
    </row>
    <row r="560" spans="1:30" ht="12.75" hidden="1" customHeight="1" x14ac:dyDescent="0.2">
      <c r="A560" s="121"/>
      <c r="D560" s="117"/>
      <c r="E560" s="117"/>
      <c r="I560" s="118"/>
      <c r="J560" s="13"/>
      <c r="K560" s="270"/>
      <c r="L560" s="57"/>
      <c r="M560" s="119"/>
      <c r="N560" s="57"/>
      <c r="O560" s="57"/>
      <c r="P560" s="57"/>
      <c r="Q560" s="57"/>
      <c r="R560" s="57"/>
      <c r="S560" s="119"/>
      <c r="T560" s="57"/>
      <c r="AD560" s="122"/>
    </row>
    <row r="561" spans="1:30" ht="12.75" hidden="1" customHeight="1" x14ac:dyDescent="0.2">
      <c r="A561" s="121"/>
      <c r="D561" s="117"/>
      <c r="E561" s="117"/>
      <c r="I561" s="118"/>
      <c r="J561" s="13"/>
      <c r="K561" s="270"/>
      <c r="L561" s="57"/>
      <c r="M561" s="119"/>
      <c r="N561" s="57"/>
      <c r="O561" s="57"/>
      <c r="P561" s="57"/>
      <c r="Q561" s="57"/>
      <c r="R561" s="57"/>
      <c r="S561" s="119"/>
      <c r="T561" s="57"/>
      <c r="AD561" s="122"/>
    </row>
    <row r="562" spans="1:30" ht="12.75" hidden="1" customHeight="1" x14ac:dyDescent="0.2">
      <c r="A562" s="121"/>
      <c r="D562" s="117"/>
      <c r="E562" s="117"/>
      <c r="I562" s="118"/>
      <c r="J562" s="13"/>
      <c r="K562" s="270"/>
      <c r="L562" s="57"/>
      <c r="M562" s="119"/>
      <c r="N562" s="57"/>
      <c r="O562" s="57"/>
      <c r="P562" s="57"/>
      <c r="Q562" s="57"/>
      <c r="R562" s="57"/>
      <c r="S562" s="119"/>
      <c r="T562" s="57"/>
      <c r="AD562" s="122"/>
    </row>
    <row r="563" spans="1:30" ht="12.75" hidden="1" customHeight="1" x14ac:dyDescent="0.2">
      <c r="A563" s="121"/>
      <c r="D563" s="117"/>
      <c r="E563" s="117"/>
      <c r="I563" s="118"/>
      <c r="J563" s="13"/>
      <c r="K563" s="270"/>
      <c r="L563" s="57"/>
      <c r="M563" s="119"/>
      <c r="N563" s="57"/>
      <c r="O563" s="57"/>
      <c r="P563" s="57"/>
      <c r="Q563" s="57"/>
      <c r="R563" s="57"/>
      <c r="S563" s="119"/>
      <c r="T563" s="57"/>
      <c r="AD563" s="122"/>
    </row>
    <row r="564" spans="1:30" ht="12.75" hidden="1" customHeight="1" x14ac:dyDescent="0.2">
      <c r="A564" s="121"/>
      <c r="D564" s="117"/>
      <c r="E564" s="117"/>
      <c r="I564" s="118"/>
      <c r="J564" s="13"/>
      <c r="K564" s="270"/>
      <c r="L564" s="57"/>
      <c r="M564" s="119"/>
      <c r="N564" s="57"/>
      <c r="O564" s="57"/>
      <c r="P564" s="57"/>
      <c r="Q564" s="57"/>
      <c r="R564" s="57"/>
      <c r="S564" s="119"/>
      <c r="T564" s="57"/>
      <c r="AD564" s="122"/>
    </row>
    <row r="565" spans="1:30" ht="12.75" hidden="1" customHeight="1" x14ac:dyDescent="0.2">
      <c r="A565" s="121"/>
      <c r="D565" s="117"/>
      <c r="E565" s="117"/>
      <c r="I565" s="118"/>
      <c r="J565" s="13"/>
      <c r="K565" s="270"/>
      <c r="L565" s="57"/>
      <c r="M565" s="119"/>
      <c r="N565" s="57"/>
      <c r="O565" s="57"/>
      <c r="P565" s="57"/>
      <c r="Q565" s="57"/>
      <c r="R565" s="57"/>
      <c r="S565" s="119"/>
      <c r="T565" s="57"/>
      <c r="AD565" s="122"/>
    </row>
    <row r="566" spans="1:30" ht="12.75" hidden="1" customHeight="1" x14ac:dyDescent="0.2">
      <c r="A566" s="121"/>
      <c r="D566" s="117"/>
      <c r="E566" s="117"/>
      <c r="I566" s="118"/>
      <c r="J566" s="13"/>
      <c r="K566" s="270"/>
      <c r="L566" s="57"/>
      <c r="M566" s="119"/>
      <c r="N566" s="57"/>
      <c r="O566" s="57"/>
      <c r="P566" s="57"/>
      <c r="Q566" s="57"/>
      <c r="R566" s="57"/>
      <c r="S566" s="119"/>
      <c r="T566" s="57"/>
      <c r="AD566" s="122"/>
    </row>
    <row r="567" spans="1:30" ht="12.75" hidden="1" customHeight="1" x14ac:dyDescent="0.2">
      <c r="A567" s="121"/>
      <c r="D567" s="117"/>
      <c r="E567" s="117"/>
      <c r="I567" s="118"/>
      <c r="J567" s="13"/>
      <c r="K567" s="270"/>
      <c r="L567" s="57"/>
      <c r="M567" s="119"/>
      <c r="N567" s="57"/>
      <c r="O567" s="57"/>
      <c r="P567" s="57"/>
      <c r="Q567" s="57"/>
      <c r="R567" s="57"/>
      <c r="S567" s="119"/>
      <c r="T567" s="57"/>
      <c r="AD567" s="122"/>
    </row>
    <row r="568" spans="1:30" ht="12.75" hidden="1" customHeight="1" x14ac:dyDescent="0.2">
      <c r="A568" s="121"/>
      <c r="D568" s="117"/>
      <c r="E568" s="117"/>
      <c r="I568" s="118"/>
      <c r="J568" s="13"/>
      <c r="K568" s="270"/>
      <c r="L568" s="57"/>
      <c r="M568" s="119"/>
      <c r="N568" s="57"/>
      <c r="O568" s="57"/>
      <c r="P568" s="57"/>
      <c r="Q568" s="57"/>
      <c r="R568" s="57"/>
      <c r="S568" s="119"/>
      <c r="T568" s="57"/>
      <c r="AD568" s="122"/>
    </row>
    <row r="569" spans="1:30" ht="12.75" hidden="1" customHeight="1" x14ac:dyDescent="0.2">
      <c r="A569" s="121"/>
      <c r="D569" s="117"/>
      <c r="E569" s="117"/>
      <c r="I569" s="118"/>
      <c r="J569" s="13"/>
      <c r="K569" s="270"/>
      <c r="L569" s="57"/>
      <c r="M569" s="119"/>
      <c r="N569" s="57"/>
      <c r="O569" s="57"/>
      <c r="P569" s="57"/>
      <c r="Q569" s="57"/>
      <c r="R569" s="57"/>
      <c r="S569" s="119"/>
      <c r="T569" s="57"/>
      <c r="AD569" s="122"/>
    </row>
    <row r="570" spans="1:30" ht="12.75" hidden="1" customHeight="1" x14ac:dyDescent="0.2">
      <c r="A570" s="121"/>
      <c r="D570" s="117"/>
      <c r="E570" s="117"/>
      <c r="I570" s="118"/>
      <c r="J570" s="13"/>
      <c r="K570" s="270"/>
      <c r="L570" s="57"/>
      <c r="M570" s="119"/>
      <c r="N570" s="57"/>
      <c r="O570" s="57"/>
      <c r="P570" s="57"/>
      <c r="Q570" s="57"/>
      <c r="R570" s="57"/>
      <c r="S570" s="119"/>
      <c r="T570" s="57"/>
      <c r="AD570" s="122"/>
    </row>
    <row r="571" spans="1:30" ht="12.75" hidden="1" customHeight="1" x14ac:dyDescent="0.2">
      <c r="A571" s="121"/>
      <c r="D571" s="117"/>
      <c r="E571" s="117"/>
      <c r="I571" s="118"/>
      <c r="J571" s="13"/>
      <c r="K571" s="270"/>
      <c r="L571" s="57"/>
      <c r="M571" s="119"/>
      <c r="N571" s="57"/>
      <c r="O571" s="57"/>
      <c r="P571" s="57"/>
      <c r="Q571" s="57"/>
      <c r="R571" s="57"/>
      <c r="S571" s="119"/>
      <c r="T571" s="57"/>
      <c r="AD571" s="122"/>
    </row>
    <row r="572" spans="1:30" ht="12.75" hidden="1" customHeight="1" x14ac:dyDescent="0.2">
      <c r="A572" s="121"/>
      <c r="D572" s="117"/>
      <c r="E572" s="117"/>
      <c r="I572" s="118"/>
      <c r="J572" s="13"/>
      <c r="K572" s="270"/>
      <c r="L572" s="57"/>
      <c r="M572" s="119"/>
      <c r="N572" s="57"/>
      <c r="O572" s="57"/>
      <c r="P572" s="57"/>
      <c r="Q572" s="57"/>
      <c r="R572" s="57"/>
      <c r="S572" s="119"/>
      <c r="T572" s="57"/>
      <c r="AD572" s="122"/>
    </row>
    <row r="573" spans="1:30" ht="12.75" hidden="1" customHeight="1" x14ac:dyDescent="0.2">
      <c r="A573" s="121"/>
      <c r="D573" s="117"/>
      <c r="E573" s="117"/>
      <c r="I573" s="118"/>
      <c r="J573" s="13"/>
      <c r="K573" s="270"/>
      <c r="L573" s="57"/>
      <c r="M573" s="119"/>
      <c r="N573" s="57"/>
      <c r="O573" s="57"/>
      <c r="P573" s="57"/>
      <c r="Q573" s="57"/>
      <c r="R573" s="57"/>
      <c r="S573" s="119"/>
      <c r="T573" s="57"/>
      <c r="AD573" s="122"/>
    </row>
    <row r="574" spans="1:30" ht="12.75" hidden="1" customHeight="1" x14ac:dyDescent="0.2">
      <c r="A574" s="121"/>
      <c r="D574" s="117"/>
      <c r="E574" s="117"/>
      <c r="I574" s="118"/>
      <c r="J574" s="13"/>
      <c r="K574" s="270"/>
      <c r="L574" s="57"/>
      <c r="M574" s="119"/>
      <c r="N574" s="57"/>
      <c r="O574" s="57"/>
      <c r="P574" s="57"/>
      <c r="Q574" s="57"/>
      <c r="R574" s="57"/>
      <c r="S574" s="119"/>
      <c r="T574" s="57"/>
      <c r="AD574" s="122"/>
    </row>
    <row r="575" spans="1:30" ht="12.75" hidden="1" customHeight="1" x14ac:dyDescent="0.2">
      <c r="A575" s="121"/>
      <c r="D575" s="117"/>
      <c r="E575" s="117"/>
      <c r="I575" s="118"/>
      <c r="J575" s="13"/>
      <c r="K575" s="270"/>
      <c r="L575" s="57"/>
      <c r="M575" s="119"/>
      <c r="N575" s="57"/>
      <c r="O575" s="57"/>
      <c r="P575" s="57"/>
      <c r="Q575" s="57"/>
      <c r="R575" s="57"/>
      <c r="S575" s="119"/>
      <c r="T575" s="57"/>
      <c r="AD575" s="122"/>
    </row>
    <row r="576" spans="1:30" ht="12.75" hidden="1" customHeight="1" x14ac:dyDescent="0.2">
      <c r="A576" s="121"/>
      <c r="D576" s="117"/>
      <c r="E576" s="117"/>
      <c r="I576" s="118"/>
      <c r="J576" s="13"/>
      <c r="K576" s="270"/>
      <c r="L576" s="57"/>
      <c r="M576" s="119"/>
      <c r="N576" s="57"/>
      <c r="O576" s="57"/>
      <c r="P576" s="57"/>
      <c r="Q576" s="57"/>
      <c r="R576" s="57"/>
      <c r="S576" s="119"/>
      <c r="T576" s="57"/>
      <c r="AD576" s="122"/>
    </row>
    <row r="577" spans="1:30" ht="12.75" hidden="1" customHeight="1" x14ac:dyDescent="0.2">
      <c r="A577" s="121"/>
      <c r="D577" s="117"/>
      <c r="E577" s="117"/>
      <c r="I577" s="118"/>
      <c r="J577" s="13"/>
      <c r="K577" s="270"/>
      <c r="L577" s="57"/>
      <c r="M577" s="119"/>
      <c r="N577" s="57"/>
      <c r="O577" s="57"/>
      <c r="P577" s="57"/>
      <c r="Q577" s="57"/>
      <c r="R577" s="57"/>
      <c r="S577" s="119"/>
      <c r="T577" s="57"/>
      <c r="AD577" s="122"/>
    </row>
    <row r="578" spans="1:30" ht="12.75" hidden="1" customHeight="1" x14ac:dyDescent="0.2">
      <c r="A578" s="121"/>
      <c r="D578" s="117"/>
      <c r="E578" s="117"/>
      <c r="I578" s="118"/>
      <c r="J578" s="13"/>
      <c r="K578" s="270"/>
      <c r="L578" s="57"/>
      <c r="M578" s="119"/>
      <c r="N578" s="57"/>
      <c r="O578" s="57"/>
      <c r="P578" s="57"/>
      <c r="Q578" s="57"/>
      <c r="R578" s="57"/>
      <c r="S578" s="119"/>
      <c r="T578" s="57"/>
      <c r="AD578" s="122"/>
    </row>
    <row r="579" spans="1:30" ht="12.75" hidden="1" customHeight="1" x14ac:dyDescent="0.2">
      <c r="A579" s="121"/>
      <c r="D579" s="117"/>
      <c r="E579" s="117"/>
      <c r="I579" s="118"/>
      <c r="J579" s="13"/>
      <c r="K579" s="270"/>
      <c r="L579" s="57"/>
      <c r="M579" s="119"/>
      <c r="N579" s="57"/>
      <c r="O579" s="57"/>
      <c r="P579" s="57"/>
      <c r="Q579" s="57"/>
      <c r="R579" s="57"/>
      <c r="S579" s="119"/>
      <c r="T579" s="57"/>
      <c r="AD579" s="122"/>
    </row>
    <row r="580" spans="1:30" ht="12.75" hidden="1" customHeight="1" x14ac:dyDescent="0.2">
      <c r="A580" s="121"/>
      <c r="D580" s="117"/>
      <c r="E580" s="117"/>
      <c r="I580" s="118"/>
      <c r="J580" s="13"/>
      <c r="K580" s="270"/>
      <c r="L580" s="57"/>
      <c r="M580" s="119"/>
      <c r="N580" s="57"/>
      <c r="O580" s="57"/>
      <c r="P580" s="57"/>
      <c r="Q580" s="57"/>
      <c r="R580" s="57"/>
      <c r="S580" s="119"/>
      <c r="T580" s="57"/>
      <c r="AD580" s="122"/>
    </row>
    <row r="581" spans="1:30" ht="12.75" hidden="1" customHeight="1" x14ac:dyDescent="0.2">
      <c r="A581" s="121"/>
      <c r="D581" s="117"/>
      <c r="E581" s="117"/>
      <c r="I581" s="118"/>
      <c r="J581" s="13"/>
      <c r="K581" s="270"/>
      <c r="L581" s="57"/>
      <c r="M581" s="119"/>
      <c r="N581" s="57"/>
      <c r="O581" s="57"/>
      <c r="P581" s="57"/>
      <c r="Q581" s="57"/>
      <c r="R581" s="57"/>
      <c r="S581" s="119"/>
      <c r="T581" s="57"/>
      <c r="AD581" s="122"/>
    </row>
    <row r="582" spans="1:30" ht="12.75" hidden="1" customHeight="1" x14ac:dyDescent="0.2">
      <c r="A582" s="121"/>
      <c r="D582" s="117"/>
      <c r="E582" s="117"/>
      <c r="I582" s="118"/>
      <c r="J582" s="13"/>
      <c r="K582" s="270"/>
      <c r="L582" s="57"/>
      <c r="M582" s="119"/>
      <c r="N582" s="57"/>
      <c r="O582" s="57"/>
      <c r="P582" s="57"/>
      <c r="Q582" s="57"/>
      <c r="R582" s="57"/>
      <c r="S582" s="119"/>
      <c r="T582" s="57"/>
      <c r="AD582" s="122"/>
    </row>
    <row r="583" spans="1:30" ht="12.75" hidden="1" customHeight="1" x14ac:dyDescent="0.2">
      <c r="A583" s="121"/>
      <c r="D583" s="117"/>
      <c r="E583" s="117"/>
      <c r="I583" s="118"/>
      <c r="J583" s="13"/>
      <c r="K583" s="270"/>
      <c r="L583" s="57"/>
      <c r="M583" s="119"/>
      <c r="N583" s="57"/>
      <c r="O583" s="57"/>
      <c r="P583" s="57"/>
      <c r="Q583" s="57"/>
      <c r="R583" s="57"/>
      <c r="S583" s="119"/>
      <c r="T583" s="57"/>
      <c r="AD583" s="122"/>
    </row>
    <row r="584" spans="1:30" ht="12.75" hidden="1" customHeight="1" x14ac:dyDescent="0.2">
      <c r="A584" s="121"/>
      <c r="D584" s="117"/>
      <c r="E584" s="117"/>
      <c r="I584" s="118"/>
      <c r="J584" s="13"/>
      <c r="K584" s="270"/>
      <c r="L584" s="57"/>
      <c r="M584" s="119"/>
      <c r="N584" s="57"/>
      <c r="O584" s="57"/>
      <c r="P584" s="57"/>
      <c r="Q584" s="57"/>
      <c r="R584" s="57"/>
      <c r="S584" s="119"/>
      <c r="T584" s="57"/>
      <c r="AD584" s="122"/>
    </row>
    <row r="585" spans="1:30" ht="12.75" hidden="1" customHeight="1" x14ac:dyDescent="0.2">
      <c r="A585" s="121"/>
      <c r="D585" s="117"/>
      <c r="E585" s="117"/>
      <c r="I585" s="118"/>
      <c r="J585" s="13"/>
      <c r="K585" s="270"/>
      <c r="L585" s="57"/>
      <c r="M585" s="119"/>
      <c r="N585" s="57"/>
      <c r="O585" s="57"/>
      <c r="P585" s="57"/>
      <c r="Q585" s="57"/>
      <c r="R585" s="57"/>
      <c r="S585" s="119"/>
      <c r="T585" s="57"/>
      <c r="AD585" s="122"/>
    </row>
    <row r="586" spans="1:30" ht="12.75" hidden="1" customHeight="1" x14ac:dyDescent="0.2">
      <c r="A586" s="121"/>
      <c r="D586" s="117"/>
      <c r="E586" s="117"/>
      <c r="I586" s="118"/>
      <c r="J586" s="13"/>
      <c r="K586" s="270"/>
      <c r="L586" s="57"/>
      <c r="M586" s="119"/>
      <c r="N586" s="57"/>
      <c r="O586" s="57"/>
      <c r="P586" s="57"/>
      <c r="Q586" s="57"/>
      <c r="R586" s="57"/>
      <c r="S586" s="119"/>
      <c r="T586" s="57"/>
      <c r="AD586" s="122"/>
    </row>
    <row r="587" spans="1:30" ht="12.75" hidden="1" customHeight="1" x14ac:dyDescent="0.2">
      <c r="A587" s="121"/>
      <c r="D587" s="117"/>
      <c r="E587" s="117"/>
      <c r="I587" s="118"/>
      <c r="J587" s="13"/>
      <c r="K587" s="270"/>
      <c r="L587" s="57"/>
      <c r="M587" s="119"/>
      <c r="N587" s="57"/>
      <c r="O587" s="57"/>
      <c r="P587" s="57"/>
      <c r="Q587" s="57"/>
      <c r="R587" s="57"/>
      <c r="S587" s="119"/>
      <c r="T587" s="57"/>
      <c r="AD587" s="122"/>
    </row>
    <row r="588" spans="1:30" ht="12.75" hidden="1" customHeight="1" x14ac:dyDescent="0.2">
      <c r="A588" s="121"/>
      <c r="D588" s="117"/>
      <c r="E588" s="117"/>
      <c r="I588" s="118"/>
      <c r="J588" s="13"/>
      <c r="K588" s="270"/>
      <c r="L588" s="57"/>
      <c r="M588" s="119"/>
      <c r="N588" s="57"/>
      <c r="O588" s="57"/>
      <c r="P588" s="57"/>
      <c r="Q588" s="57"/>
      <c r="R588" s="57"/>
      <c r="S588" s="119"/>
      <c r="T588" s="57"/>
      <c r="AD588" s="122"/>
    </row>
    <row r="589" spans="1:30" ht="12.75" hidden="1" customHeight="1" x14ac:dyDescent="0.2">
      <c r="A589" s="121"/>
      <c r="D589" s="117"/>
      <c r="E589" s="117"/>
      <c r="I589" s="118"/>
      <c r="J589" s="13"/>
      <c r="K589" s="270"/>
      <c r="L589" s="57"/>
      <c r="M589" s="119"/>
      <c r="N589" s="57"/>
      <c r="O589" s="57"/>
      <c r="P589" s="57"/>
      <c r="Q589" s="57"/>
      <c r="R589" s="57"/>
      <c r="S589" s="119"/>
      <c r="T589" s="57"/>
      <c r="AD589" s="122"/>
    </row>
    <row r="590" spans="1:30" ht="12.75" hidden="1" customHeight="1" x14ac:dyDescent="0.2">
      <c r="A590" s="121"/>
      <c r="D590" s="117"/>
      <c r="E590" s="117"/>
      <c r="I590" s="118"/>
      <c r="J590" s="13"/>
      <c r="K590" s="270"/>
      <c r="L590" s="57"/>
      <c r="M590" s="119"/>
      <c r="N590" s="57"/>
      <c r="O590" s="57"/>
      <c r="P590" s="57"/>
      <c r="Q590" s="57"/>
      <c r="R590" s="57"/>
      <c r="S590" s="119"/>
      <c r="T590" s="57"/>
      <c r="AD590" s="122"/>
    </row>
    <row r="591" spans="1:30" ht="12.75" hidden="1" customHeight="1" x14ac:dyDescent="0.2">
      <c r="A591" s="121"/>
      <c r="D591" s="117"/>
      <c r="E591" s="117"/>
      <c r="I591" s="118"/>
      <c r="J591" s="13"/>
      <c r="K591" s="270"/>
      <c r="L591" s="57"/>
      <c r="M591" s="119"/>
      <c r="N591" s="57"/>
      <c r="O591" s="57"/>
      <c r="P591" s="57"/>
      <c r="Q591" s="57"/>
      <c r="R591" s="57"/>
      <c r="S591" s="119"/>
      <c r="T591" s="57"/>
      <c r="AD591" s="122"/>
    </row>
    <row r="592" spans="1:30" ht="12.75" hidden="1" customHeight="1" x14ac:dyDescent="0.2">
      <c r="A592" s="121"/>
      <c r="D592" s="117"/>
      <c r="E592" s="117"/>
      <c r="I592" s="118"/>
      <c r="J592" s="13"/>
      <c r="K592" s="270"/>
      <c r="L592" s="57"/>
      <c r="M592" s="119"/>
      <c r="N592" s="57"/>
      <c r="O592" s="57"/>
      <c r="P592" s="57"/>
      <c r="Q592" s="57"/>
      <c r="R592" s="57"/>
      <c r="S592" s="119"/>
      <c r="T592" s="57"/>
      <c r="AD592" s="122"/>
    </row>
    <row r="593" spans="1:30" ht="12.75" hidden="1" customHeight="1" x14ac:dyDescent="0.2">
      <c r="A593" s="121"/>
      <c r="D593" s="117"/>
      <c r="E593" s="117"/>
      <c r="I593" s="118"/>
      <c r="J593" s="13"/>
      <c r="K593" s="270"/>
      <c r="L593" s="57"/>
      <c r="M593" s="119"/>
      <c r="N593" s="57"/>
      <c r="O593" s="57"/>
      <c r="P593" s="57"/>
      <c r="Q593" s="57"/>
      <c r="R593" s="57"/>
      <c r="S593" s="119"/>
      <c r="T593" s="57"/>
      <c r="AD593" s="122"/>
    </row>
    <row r="594" spans="1:30" ht="12.75" hidden="1" customHeight="1" x14ac:dyDescent="0.2">
      <c r="A594" s="121"/>
      <c r="D594" s="117"/>
      <c r="E594" s="117"/>
      <c r="I594" s="118"/>
      <c r="J594" s="13"/>
      <c r="K594" s="270"/>
      <c r="L594" s="57"/>
      <c r="M594" s="119"/>
      <c r="N594" s="57"/>
      <c r="O594" s="57"/>
      <c r="P594" s="57"/>
      <c r="Q594" s="57"/>
      <c r="R594" s="57"/>
      <c r="S594" s="119"/>
      <c r="T594" s="57"/>
      <c r="AD594" s="122"/>
    </row>
    <row r="595" spans="1:30" ht="12.75" hidden="1" customHeight="1" x14ac:dyDescent="0.2">
      <c r="A595" s="121"/>
      <c r="D595" s="117"/>
      <c r="E595" s="117"/>
      <c r="I595" s="118"/>
      <c r="J595" s="13"/>
      <c r="K595" s="270"/>
      <c r="L595" s="57"/>
      <c r="M595" s="119"/>
      <c r="N595" s="57"/>
      <c r="O595" s="57"/>
      <c r="P595" s="57"/>
      <c r="Q595" s="57"/>
      <c r="R595" s="57"/>
      <c r="S595" s="119"/>
      <c r="T595" s="57"/>
      <c r="AD595" s="122"/>
    </row>
    <row r="596" spans="1:30" ht="12.75" hidden="1" customHeight="1" x14ac:dyDescent="0.2">
      <c r="A596" s="121"/>
      <c r="D596" s="117"/>
      <c r="E596" s="117"/>
      <c r="I596" s="118"/>
      <c r="J596" s="13"/>
      <c r="K596" s="270"/>
      <c r="L596" s="57"/>
      <c r="M596" s="119"/>
      <c r="N596" s="57"/>
      <c r="O596" s="57"/>
      <c r="P596" s="57"/>
      <c r="Q596" s="57"/>
      <c r="R596" s="57"/>
      <c r="S596" s="119"/>
      <c r="T596" s="57"/>
      <c r="AD596" s="122"/>
    </row>
    <row r="597" spans="1:30" ht="12.75" hidden="1" customHeight="1" x14ac:dyDescent="0.2">
      <c r="A597" s="121"/>
      <c r="D597" s="117"/>
      <c r="E597" s="117"/>
      <c r="I597" s="118"/>
      <c r="J597" s="13"/>
      <c r="K597" s="270"/>
      <c r="L597" s="57"/>
      <c r="M597" s="119"/>
      <c r="N597" s="57"/>
      <c r="O597" s="57"/>
      <c r="P597" s="57"/>
      <c r="Q597" s="57"/>
      <c r="R597" s="57"/>
      <c r="S597" s="119"/>
      <c r="T597" s="57"/>
      <c r="AD597" s="122"/>
    </row>
    <row r="598" spans="1:30" ht="12.75" hidden="1" customHeight="1" x14ac:dyDescent="0.2">
      <c r="A598" s="121"/>
      <c r="D598" s="117"/>
      <c r="E598" s="117"/>
      <c r="I598" s="118"/>
      <c r="J598" s="13"/>
      <c r="K598" s="270"/>
      <c r="L598" s="57"/>
      <c r="M598" s="119"/>
      <c r="N598" s="57"/>
      <c r="O598" s="57"/>
      <c r="P598" s="57"/>
      <c r="Q598" s="57"/>
      <c r="R598" s="57"/>
      <c r="S598" s="119"/>
      <c r="T598" s="57"/>
      <c r="AD598" s="122"/>
    </row>
    <row r="599" spans="1:30" ht="12.75" hidden="1" customHeight="1" x14ac:dyDescent="0.2">
      <c r="A599" s="121"/>
      <c r="D599" s="117"/>
      <c r="E599" s="117"/>
      <c r="I599" s="118"/>
      <c r="J599" s="13"/>
      <c r="K599" s="270"/>
      <c r="L599" s="57"/>
      <c r="M599" s="119"/>
      <c r="N599" s="57"/>
      <c r="O599" s="57"/>
      <c r="P599" s="57"/>
      <c r="Q599" s="57"/>
      <c r="R599" s="57"/>
      <c r="S599" s="119"/>
      <c r="T599" s="57"/>
      <c r="AD599" s="122"/>
    </row>
    <row r="600" spans="1:30" ht="12.75" hidden="1" customHeight="1" x14ac:dyDescent="0.2">
      <c r="A600" s="121"/>
      <c r="D600" s="117"/>
      <c r="E600" s="117"/>
      <c r="I600" s="118"/>
      <c r="J600" s="13"/>
      <c r="K600" s="270"/>
      <c r="L600" s="57"/>
      <c r="M600" s="119"/>
      <c r="N600" s="57"/>
      <c r="O600" s="57"/>
      <c r="P600" s="57"/>
      <c r="Q600" s="57"/>
      <c r="R600" s="57"/>
      <c r="S600" s="119"/>
      <c r="T600" s="57"/>
      <c r="AD600" s="122"/>
    </row>
    <row r="601" spans="1:30" ht="12.75" hidden="1" customHeight="1" x14ac:dyDescent="0.2">
      <c r="A601" s="121"/>
      <c r="D601" s="117"/>
      <c r="E601" s="117"/>
      <c r="I601" s="118"/>
      <c r="J601" s="13"/>
      <c r="K601" s="270"/>
      <c r="L601" s="57"/>
      <c r="M601" s="119"/>
      <c r="N601" s="57"/>
      <c r="O601" s="57"/>
      <c r="P601" s="57"/>
      <c r="Q601" s="57"/>
      <c r="R601" s="57"/>
      <c r="S601" s="119"/>
      <c r="T601" s="57"/>
      <c r="AD601" s="122"/>
    </row>
    <row r="602" spans="1:30" ht="12.75" hidden="1" customHeight="1" x14ac:dyDescent="0.2">
      <c r="A602" s="121"/>
      <c r="D602" s="117"/>
      <c r="E602" s="117"/>
      <c r="I602" s="118"/>
      <c r="J602" s="13"/>
      <c r="K602" s="270"/>
      <c r="L602" s="57"/>
      <c r="M602" s="119"/>
      <c r="N602" s="57"/>
      <c r="O602" s="57"/>
      <c r="P602" s="57"/>
      <c r="Q602" s="57"/>
      <c r="R602" s="57"/>
      <c r="S602" s="119"/>
      <c r="T602" s="57"/>
      <c r="AD602" s="122"/>
    </row>
    <row r="603" spans="1:30" ht="12.75" hidden="1" customHeight="1" x14ac:dyDescent="0.2">
      <c r="A603" s="121"/>
      <c r="D603" s="117"/>
      <c r="E603" s="117"/>
      <c r="I603" s="118"/>
      <c r="J603" s="13"/>
      <c r="K603" s="270"/>
      <c r="L603" s="57"/>
      <c r="M603" s="119"/>
      <c r="N603" s="57"/>
      <c r="O603" s="57"/>
      <c r="P603" s="57"/>
      <c r="Q603" s="57"/>
      <c r="R603" s="57"/>
      <c r="S603" s="119"/>
      <c r="T603" s="57"/>
      <c r="AD603" s="122"/>
    </row>
    <row r="604" spans="1:30" ht="12.75" hidden="1" customHeight="1" x14ac:dyDescent="0.2">
      <c r="A604" s="121"/>
      <c r="D604" s="117"/>
      <c r="E604" s="117"/>
      <c r="I604" s="118"/>
      <c r="J604" s="13"/>
      <c r="K604" s="270"/>
      <c r="L604" s="57"/>
      <c r="M604" s="119"/>
      <c r="N604" s="57"/>
      <c r="O604" s="57"/>
      <c r="P604" s="57"/>
      <c r="Q604" s="57"/>
      <c r="R604" s="57"/>
      <c r="S604" s="119"/>
      <c r="T604" s="57"/>
      <c r="AD604" s="122"/>
    </row>
    <row r="605" spans="1:30" ht="12.75" hidden="1" customHeight="1" x14ac:dyDescent="0.2">
      <c r="A605" s="121"/>
      <c r="D605" s="117"/>
      <c r="E605" s="117"/>
      <c r="I605" s="118"/>
      <c r="J605" s="13"/>
      <c r="K605" s="270"/>
      <c r="L605" s="57"/>
      <c r="M605" s="119"/>
      <c r="N605" s="57"/>
      <c r="O605" s="57"/>
      <c r="P605" s="57"/>
      <c r="Q605" s="57"/>
      <c r="R605" s="57"/>
      <c r="S605" s="119"/>
      <c r="T605" s="57"/>
      <c r="AD605" s="122"/>
    </row>
    <row r="606" spans="1:30" ht="12.75" hidden="1" customHeight="1" x14ac:dyDescent="0.2">
      <c r="A606" s="121"/>
      <c r="D606" s="117"/>
      <c r="E606" s="117"/>
      <c r="I606" s="118"/>
      <c r="J606" s="13"/>
      <c r="K606" s="270"/>
      <c r="L606" s="57"/>
      <c r="M606" s="119"/>
      <c r="N606" s="57"/>
      <c r="O606" s="57"/>
      <c r="P606" s="57"/>
      <c r="Q606" s="57"/>
      <c r="R606" s="57"/>
      <c r="S606" s="119"/>
      <c r="T606" s="57"/>
      <c r="AD606" s="122"/>
    </row>
    <row r="607" spans="1:30" ht="12.75" hidden="1" customHeight="1" x14ac:dyDescent="0.2">
      <c r="A607" s="121"/>
      <c r="D607" s="117"/>
      <c r="E607" s="117"/>
      <c r="I607" s="118"/>
      <c r="J607" s="13"/>
      <c r="K607" s="270"/>
      <c r="L607" s="57"/>
      <c r="M607" s="119"/>
      <c r="N607" s="57"/>
      <c r="O607" s="57"/>
      <c r="P607" s="57"/>
      <c r="Q607" s="57"/>
      <c r="R607" s="57"/>
      <c r="S607" s="119"/>
      <c r="T607" s="57"/>
      <c r="AD607" s="122"/>
    </row>
    <row r="608" spans="1:30" ht="12.75" hidden="1" customHeight="1" x14ac:dyDescent="0.2">
      <c r="A608" s="121"/>
      <c r="D608" s="117"/>
      <c r="E608" s="117"/>
      <c r="I608" s="118"/>
      <c r="J608" s="13"/>
      <c r="K608" s="270"/>
      <c r="L608" s="57"/>
      <c r="M608" s="119"/>
      <c r="N608" s="57"/>
      <c r="O608" s="57"/>
      <c r="P608" s="57"/>
      <c r="Q608" s="57"/>
      <c r="R608" s="57"/>
      <c r="S608" s="119"/>
      <c r="T608" s="57"/>
      <c r="AD608" s="122"/>
    </row>
    <row r="609" spans="1:30" ht="12.75" hidden="1" customHeight="1" x14ac:dyDescent="0.2">
      <c r="A609" s="121"/>
      <c r="D609" s="117"/>
      <c r="E609" s="117"/>
      <c r="I609" s="118"/>
      <c r="J609" s="13"/>
      <c r="K609" s="270"/>
      <c r="L609" s="57"/>
      <c r="M609" s="119"/>
      <c r="N609" s="57"/>
      <c r="O609" s="57"/>
      <c r="P609" s="57"/>
      <c r="Q609" s="57"/>
      <c r="R609" s="57"/>
      <c r="S609" s="119"/>
      <c r="T609" s="57"/>
      <c r="AD609" s="122"/>
    </row>
    <row r="610" spans="1:30" ht="12.75" hidden="1" customHeight="1" x14ac:dyDescent="0.2">
      <c r="A610" s="121"/>
      <c r="D610" s="117"/>
      <c r="E610" s="117"/>
      <c r="I610" s="118"/>
      <c r="J610" s="13"/>
      <c r="K610" s="270"/>
      <c r="L610" s="57"/>
      <c r="M610" s="119"/>
      <c r="N610" s="57"/>
      <c r="O610" s="57"/>
      <c r="P610" s="57"/>
      <c r="Q610" s="57"/>
      <c r="R610" s="57"/>
      <c r="S610" s="119"/>
      <c r="T610" s="57"/>
      <c r="AD610" s="122"/>
    </row>
    <row r="611" spans="1:30" ht="12.75" hidden="1" customHeight="1" x14ac:dyDescent="0.2">
      <c r="A611" s="121"/>
      <c r="D611" s="117"/>
      <c r="E611" s="117"/>
      <c r="I611" s="118"/>
      <c r="J611" s="13"/>
      <c r="K611" s="270"/>
      <c r="L611" s="57"/>
      <c r="M611" s="119"/>
      <c r="N611" s="57"/>
      <c r="O611" s="57"/>
      <c r="P611" s="57"/>
      <c r="Q611" s="57"/>
      <c r="R611" s="57"/>
      <c r="S611" s="119"/>
      <c r="T611" s="57"/>
      <c r="AD611" s="122"/>
    </row>
    <row r="612" spans="1:30" ht="12.75" hidden="1" customHeight="1" x14ac:dyDescent="0.2">
      <c r="A612" s="121"/>
      <c r="D612" s="117"/>
      <c r="E612" s="117"/>
      <c r="I612" s="118"/>
      <c r="J612" s="13"/>
      <c r="K612" s="270"/>
      <c r="L612" s="57"/>
      <c r="M612" s="119"/>
      <c r="N612" s="57"/>
      <c r="O612" s="57"/>
      <c r="P612" s="57"/>
      <c r="Q612" s="57"/>
      <c r="R612" s="57"/>
      <c r="S612" s="119"/>
      <c r="T612" s="57"/>
      <c r="AD612" s="122"/>
    </row>
    <row r="613" spans="1:30" ht="12.75" hidden="1" customHeight="1" x14ac:dyDescent="0.2">
      <c r="A613" s="121"/>
      <c r="D613" s="117"/>
      <c r="E613" s="117"/>
      <c r="I613" s="118"/>
      <c r="J613" s="13"/>
      <c r="K613" s="270"/>
      <c r="L613" s="57"/>
      <c r="M613" s="119"/>
      <c r="N613" s="57"/>
      <c r="O613" s="57"/>
      <c r="P613" s="57"/>
      <c r="Q613" s="57"/>
      <c r="R613" s="57"/>
      <c r="S613" s="119"/>
      <c r="T613" s="57"/>
      <c r="AD613" s="122"/>
    </row>
    <row r="614" spans="1:30" ht="12.75" hidden="1" customHeight="1" x14ac:dyDescent="0.2">
      <c r="A614" s="121"/>
      <c r="D614" s="117"/>
      <c r="E614" s="117"/>
      <c r="I614" s="118"/>
      <c r="J614" s="13"/>
      <c r="K614" s="270"/>
      <c r="L614" s="57"/>
      <c r="M614" s="119"/>
      <c r="N614" s="57"/>
      <c r="O614" s="57"/>
      <c r="P614" s="57"/>
      <c r="Q614" s="57"/>
      <c r="R614" s="57"/>
      <c r="S614" s="119"/>
      <c r="T614" s="57"/>
      <c r="AD614" s="122"/>
    </row>
    <row r="615" spans="1:30" ht="12.75" hidden="1" customHeight="1" x14ac:dyDescent="0.2">
      <c r="A615" s="121"/>
      <c r="D615" s="117"/>
      <c r="E615" s="117"/>
      <c r="I615" s="118"/>
      <c r="J615" s="13"/>
      <c r="K615" s="270"/>
      <c r="L615" s="57"/>
      <c r="M615" s="119"/>
      <c r="N615" s="57"/>
      <c r="O615" s="57"/>
      <c r="P615" s="57"/>
      <c r="Q615" s="57"/>
      <c r="R615" s="57"/>
      <c r="S615" s="119"/>
      <c r="T615" s="57"/>
      <c r="AD615" s="122"/>
    </row>
    <row r="616" spans="1:30" ht="12.75" hidden="1" customHeight="1" x14ac:dyDescent="0.2">
      <c r="A616" s="121"/>
      <c r="D616" s="117"/>
      <c r="E616" s="117"/>
      <c r="I616" s="118"/>
      <c r="J616" s="13"/>
      <c r="K616" s="270"/>
      <c r="L616" s="57"/>
      <c r="M616" s="119"/>
      <c r="N616" s="57"/>
      <c r="O616" s="57"/>
      <c r="P616" s="57"/>
      <c r="Q616" s="57"/>
      <c r="R616" s="57"/>
      <c r="S616" s="119"/>
      <c r="T616" s="57"/>
      <c r="AD616" s="122"/>
    </row>
    <row r="617" spans="1:30" ht="12.75" hidden="1" customHeight="1" x14ac:dyDescent="0.2">
      <c r="A617" s="121"/>
      <c r="D617" s="117"/>
      <c r="E617" s="117"/>
      <c r="I617" s="118"/>
      <c r="J617" s="13"/>
      <c r="K617" s="270"/>
      <c r="L617" s="57"/>
      <c r="M617" s="119"/>
      <c r="N617" s="57"/>
      <c r="O617" s="57"/>
      <c r="P617" s="57"/>
      <c r="Q617" s="57"/>
      <c r="R617" s="57"/>
      <c r="S617" s="119"/>
      <c r="T617" s="57"/>
      <c r="AD617" s="122"/>
    </row>
    <row r="618" spans="1:30" ht="12.75" hidden="1" customHeight="1" x14ac:dyDescent="0.2">
      <c r="A618" s="121"/>
      <c r="D618" s="117"/>
      <c r="E618" s="117"/>
      <c r="I618" s="118"/>
      <c r="J618" s="13"/>
      <c r="K618" s="270"/>
      <c r="L618" s="57"/>
      <c r="M618" s="119"/>
      <c r="N618" s="57"/>
      <c r="O618" s="57"/>
      <c r="P618" s="57"/>
      <c r="Q618" s="57"/>
      <c r="R618" s="57"/>
      <c r="S618" s="119"/>
      <c r="T618" s="57"/>
      <c r="AD618" s="122"/>
    </row>
    <row r="619" spans="1:30" ht="12.75" hidden="1" customHeight="1" x14ac:dyDescent="0.2">
      <c r="A619" s="121"/>
      <c r="D619" s="117"/>
      <c r="E619" s="117"/>
      <c r="I619" s="118"/>
      <c r="J619" s="13"/>
      <c r="K619" s="270"/>
      <c r="L619" s="57"/>
      <c r="M619" s="119"/>
      <c r="N619" s="57"/>
      <c r="O619" s="57"/>
      <c r="P619" s="57"/>
      <c r="Q619" s="57"/>
      <c r="R619" s="57"/>
      <c r="S619" s="119"/>
      <c r="T619" s="57"/>
      <c r="AD619" s="122"/>
    </row>
    <row r="620" spans="1:30" ht="12.75" hidden="1" customHeight="1" x14ac:dyDescent="0.2">
      <c r="A620" s="121"/>
      <c r="D620" s="117"/>
      <c r="E620" s="117"/>
      <c r="I620" s="118"/>
      <c r="J620" s="13"/>
      <c r="K620" s="270"/>
      <c r="L620" s="57"/>
      <c r="M620" s="119"/>
      <c r="N620" s="57"/>
      <c r="O620" s="57"/>
      <c r="P620" s="57"/>
      <c r="Q620" s="57"/>
      <c r="R620" s="57"/>
      <c r="S620" s="119"/>
      <c r="T620" s="57"/>
      <c r="AD620" s="122"/>
    </row>
    <row r="621" spans="1:30" ht="12.75" hidden="1" customHeight="1" x14ac:dyDescent="0.2">
      <c r="A621" s="121"/>
      <c r="D621" s="117"/>
      <c r="E621" s="117"/>
      <c r="I621" s="118"/>
      <c r="J621" s="13"/>
      <c r="K621" s="270"/>
      <c r="L621" s="57"/>
      <c r="M621" s="119"/>
      <c r="N621" s="57"/>
      <c r="O621" s="57"/>
      <c r="P621" s="57"/>
      <c r="Q621" s="57"/>
      <c r="R621" s="57"/>
      <c r="S621" s="119"/>
      <c r="T621" s="57"/>
      <c r="AD621" s="122"/>
    </row>
    <row r="622" spans="1:30" ht="12.75" hidden="1" customHeight="1" x14ac:dyDescent="0.2">
      <c r="A622" s="121"/>
      <c r="D622" s="117"/>
      <c r="E622" s="117"/>
      <c r="I622" s="118"/>
      <c r="J622" s="13"/>
      <c r="K622" s="270"/>
      <c r="L622" s="57"/>
      <c r="M622" s="119"/>
      <c r="N622" s="57"/>
      <c r="O622" s="57"/>
      <c r="P622" s="57"/>
      <c r="Q622" s="57"/>
      <c r="R622" s="57"/>
      <c r="S622" s="119"/>
      <c r="T622" s="57"/>
      <c r="AD622" s="122"/>
    </row>
    <row r="623" spans="1:30" ht="12.75" hidden="1" customHeight="1" x14ac:dyDescent="0.2">
      <c r="A623" s="121"/>
      <c r="D623" s="117"/>
      <c r="E623" s="117"/>
      <c r="I623" s="118"/>
      <c r="J623" s="13"/>
      <c r="K623" s="270"/>
      <c r="L623" s="57"/>
      <c r="M623" s="119"/>
      <c r="N623" s="57"/>
      <c r="O623" s="57"/>
      <c r="P623" s="57"/>
      <c r="Q623" s="57"/>
      <c r="R623" s="57"/>
      <c r="S623" s="119"/>
      <c r="T623" s="57"/>
      <c r="AD623" s="122"/>
    </row>
    <row r="624" spans="1:30" ht="12.75" hidden="1" customHeight="1" x14ac:dyDescent="0.2">
      <c r="A624" s="121"/>
      <c r="D624" s="117"/>
      <c r="E624" s="117"/>
      <c r="I624" s="118"/>
      <c r="J624" s="13"/>
      <c r="K624" s="270"/>
      <c r="L624" s="57"/>
      <c r="M624" s="119"/>
      <c r="N624" s="57"/>
      <c r="O624" s="57"/>
      <c r="P624" s="57"/>
      <c r="Q624" s="57"/>
      <c r="R624" s="57"/>
      <c r="S624" s="119"/>
      <c r="T624" s="57"/>
      <c r="AD624" s="122"/>
    </row>
    <row r="625" spans="1:30" ht="12.75" hidden="1" customHeight="1" x14ac:dyDescent="0.2">
      <c r="A625" s="121"/>
      <c r="D625" s="117"/>
      <c r="E625" s="117"/>
      <c r="I625" s="118"/>
      <c r="J625" s="13"/>
      <c r="K625" s="270"/>
      <c r="L625" s="57"/>
      <c r="M625" s="119"/>
      <c r="N625" s="57"/>
      <c r="O625" s="57"/>
      <c r="P625" s="57"/>
      <c r="Q625" s="57"/>
      <c r="R625" s="57"/>
      <c r="S625" s="119"/>
      <c r="T625" s="57"/>
      <c r="AD625" s="122"/>
    </row>
    <row r="626" spans="1:30" ht="12.75" hidden="1" customHeight="1" x14ac:dyDescent="0.2">
      <c r="A626" s="121"/>
      <c r="D626" s="117"/>
      <c r="E626" s="117"/>
      <c r="I626" s="118"/>
      <c r="J626" s="13"/>
      <c r="K626" s="270"/>
      <c r="L626" s="57"/>
      <c r="M626" s="119"/>
      <c r="N626" s="57"/>
      <c r="O626" s="57"/>
      <c r="P626" s="57"/>
      <c r="Q626" s="57"/>
      <c r="R626" s="57"/>
      <c r="S626" s="119"/>
      <c r="T626" s="57"/>
      <c r="AD626" s="122"/>
    </row>
    <row r="627" spans="1:30" ht="12.75" hidden="1" customHeight="1" x14ac:dyDescent="0.2">
      <c r="A627" s="121"/>
      <c r="D627" s="117"/>
      <c r="E627" s="117"/>
      <c r="I627" s="118"/>
      <c r="J627" s="13"/>
      <c r="K627" s="270"/>
      <c r="L627" s="57"/>
      <c r="M627" s="119"/>
      <c r="N627" s="57"/>
      <c r="O627" s="57"/>
      <c r="P627" s="57"/>
      <c r="Q627" s="57"/>
      <c r="R627" s="57"/>
      <c r="S627" s="119"/>
      <c r="T627" s="57"/>
      <c r="AD627" s="122"/>
    </row>
    <row r="628" spans="1:30" ht="12.75" hidden="1" customHeight="1" x14ac:dyDescent="0.2">
      <c r="A628" s="121"/>
      <c r="D628" s="117"/>
      <c r="E628" s="117"/>
      <c r="I628" s="118"/>
      <c r="J628" s="13"/>
      <c r="K628" s="270"/>
      <c r="L628" s="57"/>
      <c r="M628" s="119"/>
      <c r="N628" s="57"/>
      <c r="O628" s="57"/>
      <c r="P628" s="57"/>
      <c r="Q628" s="57"/>
      <c r="R628" s="57"/>
      <c r="S628" s="119"/>
      <c r="T628" s="57"/>
      <c r="AD628" s="122"/>
    </row>
    <row r="629" spans="1:30" ht="12.75" hidden="1" customHeight="1" x14ac:dyDescent="0.2">
      <c r="A629" s="121"/>
      <c r="D629" s="117"/>
      <c r="E629" s="117"/>
      <c r="I629" s="118"/>
      <c r="J629" s="13"/>
      <c r="K629" s="270"/>
      <c r="L629" s="57"/>
      <c r="M629" s="119"/>
      <c r="N629" s="57"/>
      <c r="O629" s="57"/>
      <c r="P629" s="57"/>
      <c r="Q629" s="57"/>
      <c r="R629" s="57"/>
      <c r="S629" s="119"/>
      <c r="T629" s="57"/>
      <c r="AD629" s="122"/>
    </row>
    <row r="630" spans="1:30" ht="12.75" hidden="1" customHeight="1" x14ac:dyDescent="0.2">
      <c r="A630" s="121"/>
      <c r="D630" s="117"/>
      <c r="E630" s="117"/>
      <c r="I630" s="118"/>
      <c r="J630" s="13"/>
      <c r="K630" s="270"/>
      <c r="L630" s="57"/>
      <c r="M630" s="119"/>
      <c r="N630" s="57"/>
      <c r="O630" s="57"/>
      <c r="P630" s="57"/>
      <c r="Q630" s="57"/>
      <c r="R630" s="57"/>
      <c r="S630" s="119"/>
      <c r="T630" s="57"/>
      <c r="AD630" s="122"/>
    </row>
    <row r="631" spans="1:30" ht="12.75" hidden="1" customHeight="1" x14ac:dyDescent="0.2">
      <c r="A631" s="121"/>
      <c r="D631" s="117"/>
      <c r="E631" s="117"/>
      <c r="I631" s="118"/>
      <c r="J631" s="13"/>
      <c r="K631" s="270"/>
      <c r="L631" s="57"/>
      <c r="M631" s="119"/>
      <c r="N631" s="57"/>
      <c r="O631" s="57"/>
      <c r="P631" s="57"/>
      <c r="Q631" s="57"/>
      <c r="R631" s="57"/>
      <c r="S631" s="119"/>
      <c r="T631" s="57"/>
      <c r="AD631" s="122"/>
    </row>
    <row r="632" spans="1:30" ht="12.75" hidden="1" customHeight="1" x14ac:dyDescent="0.2">
      <c r="A632" s="121"/>
      <c r="D632" s="117"/>
      <c r="E632" s="117"/>
      <c r="I632" s="118"/>
      <c r="J632" s="13"/>
      <c r="K632" s="270"/>
      <c r="L632" s="57"/>
      <c r="M632" s="119"/>
      <c r="N632" s="57"/>
      <c r="O632" s="57"/>
      <c r="P632" s="57"/>
      <c r="Q632" s="57"/>
      <c r="R632" s="57"/>
      <c r="S632" s="119"/>
      <c r="T632" s="57"/>
      <c r="AD632" s="122"/>
    </row>
    <row r="633" spans="1:30" ht="12.75" hidden="1" customHeight="1" x14ac:dyDescent="0.2">
      <c r="A633" s="121"/>
      <c r="D633" s="117"/>
      <c r="E633" s="117"/>
      <c r="I633" s="118"/>
      <c r="J633" s="13"/>
      <c r="K633" s="270"/>
      <c r="L633" s="57"/>
      <c r="M633" s="119"/>
      <c r="N633" s="57"/>
      <c r="O633" s="57"/>
      <c r="P633" s="57"/>
      <c r="Q633" s="57"/>
      <c r="R633" s="57"/>
      <c r="S633" s="119"/>
      <c r="T633" s="57"/>
      <c r="AD633" s="122"/>
    </row>
    <row r="634" spans="1:30" ht="12.75" hidden="1" customHeight="1" x14ac:dyDescent="0.2">
      <c r="A634" s="121"/>
      <c r="D634" s="117"/>
      <c r="E634" s="117"/>
      <c r="I634" s="118"/>
      <c r="J634" s="13"/>
      <c r="K634" s="270"/>
      <c r="L634" s="57"/>
      <c r="M634" s="119"/>
      <c r="N634" s="57"/>
      <c r="O634" s="57"/>
      <c r="P634" s="57"/>
      <c r="Q634" s="57"/>
      <c r="R634" s="57"/>
      <c r="S634" s="119"/>
      <c r="T634" s="57"/>
      <c r="AD634" s="122"/>
    </row>
    <row r="635" spans="1:30" ht="12.75" hidden="1" customHeight="1" x14ac:dyDescent="0.2">
      <c r="A635" s="121"/>
      <c r="D635" s="117"/>
      <c r="E635" s="117"/>
      <c r="I635" s="118"/>
      <c r="J635" s="13"/>
      <c r="K635" s="270"/>
      <c r="L635" s="57"/>
      <c r="M635" s="119"/>
      <c r="N635" s="57"/>
      <c r="O635" s="57"/>
      <c r="P635" s="57"/>
      <c r="Q635" s="57"/>
      <c r="R635" s="57"/>
      <c r="S635" s="119"/>
      <c r="T635" s="57"/>
      <c r="AD635" s="122"/>
    </row>
    <row r="636" spans="1:30" ht="12.75" hidden="1" customHeight="1" x14ac:dyDescent="0.2">
      <c r="A636" s="121"/>
      <c r="D636" s="117"/>
      <c r="E636" s="117"/>
      <c r="I636" s="118"/>
      <c r="J636" s="13"/>
      <c r="K636" s="270"/>
      <c r="L636" s="57"/>
      <c r="M636" s="119"/>
      <c r="N636" s="57"/>
      <c r="O636" s="57"/>
      <c r="P636" s="57"/>
      <c r="Q636" s="57"/>
      <c r="R636" s="57"/>
      <c r="S636" s="119"/>
      <c r="T636" s="57"/>
      <c r="AD636" s="122"/>
    </row>
    <row r="637" spans="1:30" ht="12.75" hidden="1" customHeight="1" x14ac:dyDescent="0.2">
      <c r="A637" s="121"/>
      <c r="D637" s="117"/>
      <c r="E637" s="117"/>
      <c r="I637" s="118"/>
      <c r="J637" s="13"/>
      <c r="K637" s="270"/>
      <c r="L637" s="57"/>
      <c r="M637" s="119"/>
      <c r="N637" s="57"/>
      <c r="O637" s="57"/>
      <c r="P637" s="57"/>
      <c r="Q637" s="57"/>
      <c r="R637" s="57"/>
      <c r="S637" s="119"/>
      <c r="T637" s="57"/>
      <c r="AD637" s="122"/>
    </row>
    <row r="638" spans="1:30" ht="12.75" hidden="1" customHeight="1" x14ac:dyDescent="0.2">
      <c r="A638" s="121"/>
      <c r="D638" s="117"/>
      <c r="E638" s="117"/>
      <c r="I638" s="118"/>
      <c r="J638" s="13"/>
      <c r="K638" s="270"/>
      <c r="L638" s="57"/>
      <c r="M638" s="119"/>
      <c r="N638" s="57"/>
      <c r="O638" s="57"/>
      <c r="P638" s="57"/>
      <c r="Q638" s="57"/>
      <c r="R638" s="57"/>
      <c r="S638" s="119"/>
      <c r="T638" s="57"/>
      <c r="AD638" s="122"/>
    </row>
    <row r="639" spans="1:30" ht="12.75" hidden="1" customHeight="1" x14ac:dyDescent="0.2">
      <c r="A639" s="121"/>
      <c r="D639" s="117"/>
      <c r="E639" s="117"/>
      <c r="I639" s="118"/>
      <c r="J639" s="13"/>
      <c r="K639" s="270"/>
      <c r="L639" s="57"/>
      <c r="M639" s="119"/>
      <c r="N639" s="57"/>
      <c r="O639" s="57"/>
      <c r="P639" s="57"/>
      <c r="Q639" s="57"/>
      <c r="R639" s="57"/>
      <c r="S639" s="119"/>
      <c r="T639" s="57"/>
      <c r="AD639" s="122"/>
    </row>
    <row r="640" spans="1:30" ht="12.75" hidden="1" customHeight="1" x14ac:dyDescent="0.2">
      <c r="A640" s="121"/>
      <c r="D640" s="117"/>
      <c r="E640" s="117"/>
      <c r="I640" s="118"/>
      <c r="J640" s="13"/>
      <c r="K640" s="270"/>
      <c r="L640" s="57"/>
      <c r="M640" s="119"/>
      <c r="N640" s="57"/>
      <c r="O640" s="57"/>
      <c r="P640" s="57"/>
      <c r="Q640" s="57"/>
      <c r="R640" s="57"/>
      <c r="S640" s="119"/>
      <c r="T640" s="57"/>
      <c r="AD640" s="122"/>
    </row>
    <row r="641" spans="1:30" ht="12.75" hidden="1" customHeight="1" x14ac:dyDescent="0.2">
      <c r="A641" s="121"/>
      <c r="D641" s="117"/>
      <c r="E641" s="117"/>
      <c r="I641" s="118"/>
      <c r="J641" s="13"/>
      <c r="K641" s="270"/>
      <c r="L641" s="57"/>
      <c r="M641" s="119"/>
      <c r="N641" s="57"/>
      <c r="O641" s="57"/>
      <c r="P641" s="57"/>
      <c r="Q641" s="57"/>
      <c r="R641" s="57"/>
      <c r="S641" s="119"/>
      <c r="T641" s="57"/>
      <c r="AD641" s="122"/>
    </row>
    <row r="642" spans="1:30" ht="12.75" hidden="1" customHeight="1" x14ac:dyDescent="0.2">
      <c r="A642" s="121"/>
      <c r="D642" s="117"/>
      <c r="E642" s="117"/>
      <c r="I642" s="118"/>
      <c r="J642" s="13"/>
      <c r="K642" s="270"/>
      <c r="L642" s="57"/>
      <c r="M642" s="119"/>
      <c r="N642" s="57"/>
      <c r="O642" s="57"/>
      <c r="P642" s="57"/>
      <c r="Q642" s="57"/>
      <c r="R642" s="57"/>
      <c r="S642" s="119"/>
      <c r="T642" s="57"/>
      <c r="AD642" s="122"/>
    </row>
    <row r="643" spans="1:30" ht="12.75" hidden="1" customHeight="1" x14ac:dyDescent="0.2">
      <c r="A643" s="121"/>
      <c r="D643" s="117"/>
      <c r="E643" s="117"/>
      <c r="I643" s="118"/>
      <c r="J643" s="13"/>
      <c r="K643" s="270"/>
      <c r="L643" s="57"/>
      <c r="M643" s="119"/>
      <c r="N643" s="57"/>
      <c r="O643" s="57"/>
      <c r="P643" s="57"/>
      <c r="Q643" s="57"/>
      <c r="R643" s="57"/>
      <c r="S643" s="119"/>
      <c r="T643" s="57"/>
      <c r="AD643" s="122"/>
    </row>
    <row r="644" spans="1:30" ht="12.75" hidden="1" customHeight="1" x14ac:dyDescent="0.2">
      <c r="A644" s="121"/>
      <c r="D644" s="117"/>
      <c r="E644" s="117"/>
      <c r="I644" s="118"/>
      <c r="J644" s="13"/>
      <c r="K644" s="270"/>
      <c r="L644" s="57"/>
      <c r="M644" s="119"/>
      <c r="N644" s="57"/>
      <c r="O644" s="57"/>
      <c r="P644" s="57"/>
      <c r="Q644" s="57"/>
      <c r="R644" s="57"/>
      <c r="S644" s="119"/>
      <c r="T644" s="57"/>
      <c r="AD644" s="122"/>
    </row>
    <row r="645" spans="1:30" ht="12.75" hidden="1" customHeight="1" x14ac:dyDescent="0.2">
      <c r="A645" s="121"/>
      <c r="D645" s="117"/>
      <c r="E645" s="117"/>
      <c r="I645" s="118"/>
      <c r="J645" s="13"/>
      <c r="K645" s="270"/>
      <c r="L645" s="57"/>
      <c r="M645" s="119"/>
      <c r="N645" s="57"/>
      <c r="O645" s="57"/>
      <c r="P645" s="57"/>
      <c r="Q645" s="57"/>
      <c r="R645" s="57"/>
      <c r="S645" s="119"/>
      <c r="T645" s="57"/>
      <c r="AD645" s="122"/>
    </row>
    <row r="646" spans="1:30" ht="12.75" hidden="1" customHeight="1" x14ac:dyDescent="0.2">
      <c r="A646" s="121"/>
      <c r="D646" s="117"/>
      <c r="E646" s="117"/>
      <c r="I646" s="118"/>
      <c r="J646" s="13"/>
      <c r="K646" s="270"/>
      <c r="L646" s="57"/>
      <c r="M646" s="119"/>
      <c r="N646" s="57"/>
      <c r="O646" s="57"/>
      <c r="P646" s="57"/>
      <c r="Q646" s="57"/>
      <c r="R646" s="57"/>
      <c r="S646" s="119"/>
      <c r="T646" s="57"/>
      <c r="AD646" s="122"/>
    </row>
    <row r="647" spans="1:30" ht="12.75" hidden="1" customHeight="1" x14ac:dyDescent="0.2">
      <c r="A647" s="121"/>
      <c r="D647" s="117"/>
      <c r="E647" s="117"/>
      <c r="I647" s="118"/>
      <c r="J647" s="13"/>
      <c r="K647" s="270"/>
      <c r="L647" s="57"/>
      <c r="M647" s="119"/>
      <c r="N647" s="57"/>
      <c r="O647" s="57"/>
      <c r="P647" s="57"/>
      <c r="Q647" s="57"/>
      <c r="R647" s="57"/>
      <c r="S647" s="119"/>
      <c r="T647" s="57"/>
      <c r="AD647" s="122"/>
    </row>
    <row r="648" spans="1:30" ht="12.75" hidden="1" customHeight="1" x14ac:dyDescent="0.2">
      <c r="A648" s="121"/>
      <c r="D648" s="117"/>
      <c r="E648" s="117"/>
      <c r="I648" s="118"/>
      <c r="J648" s="13"/>
      <c r="K648" s="270"/>
      <c r="L648" s="57"/>
      <c r="M648" s="119"/>
      <c r="N648" s="57"/>
      <c r="O648" s="57"/>
      <c r="P648" s="57"/>
      <c r="Q648" s="57"/>
      <c r="R648" s="57"/>
      <c r="S648" s="119"/>
      <c r="T648" s="57"/>
      <c r="AD648" s="122"/>
    </row>
    <row r="649" spans="1:30" ht="12.75" hidden="1" customHeight="1" x14ac:dyDescent="0.2">
      <c r="A649" s="121"/>
      <c r="D649" s="117"/>
      <c r="E649" s="117"/>
      <c r="I649" s="118"/>
      <c r="J649" s="13"/>
      <c r="K649" s="270"/>
      <c r="L649" s="57"/>
      <c r="M649" s="119"/>
      <c r="N649" s="57"/>
      <c r="O649" s="57"/>
      <c r="P649" s="57"/>
      <c r="Q649" s="57"/>
      <c r="R649" s="57"/>
      <c r="S649" s="119"/>
      <c r="T649" s="57"/>
      <c r="AD649" s="122"/>
    </row>
    <row r="650" spans="1:30" ht="12.75" hidden="1" customHeight="1" x14ac:dyDescent="0.2">
      <c r="A650" s="121"/>
      <c r="D650" s="117"/>
      <c r="E650" s="117"/>
      <c r="I650" s="118"/>
      <c r="J650" s="13"/>
      <c r="K650" s="270"/>
      <c r="L650" s="57"/>
      <c r="M650" s="119"/>
      <c r="N650" s="57"/>
      <c r="O650" s="57"/>
      <c r="P650" s="57"/>
      <c r="Q650" s="57"/>
      <c r="R650" s="57"/>
      <c r="S650" s="119"/>
      <c r="T650" s="57"/>
      <c r="AD650" s="122"/>
    </row>
    <row r="651" spans="1:30" ht="12.75" hidden="1" customHeight="1" x14ac:dyDescent="0.2">
      <c r="A651" s="121"/>
      <c r="D651" s="117"/>
      <c r="E651" s="117"/>
      <c r="I651" s="118"/>
      <c r="J651" s="13"/>
      <c r="K651" s="270"/>
      <c r="L651" s="57"/>
      <c r="M651" s="119"/>
      <c r="N651" s="57"/>
      <c r="O651" s="57"/>
      <c r="P651" s="57"/>
      <c r="Q651" s="57"/>
      <c r="R651" s="57"/>
      <c r="S651" s="119"/>
      <c r="T651" s="57"/>
      <c r="AD651" s="122"/>
    </row>
    <row r="652" spans="1:30" ht="12.75" hidden="1" customHeight="1" x14ac:dyDescent="0.2">
      <c r="A652" s="121"/>
      <c r="D652" s="117"/>
      <c r="E652" s="117"/>
      <c r="I652" s="118"/>
      <c r="J652" s="13"/>
      <c r="K652" s="270"/>
      <c r="L652" s="57"/>
      <c r="M652" s="119"/>
      <c r="N652" s="57"/>
      <c r="O652" s="57"/>
      <c r="P652" s="57"/>
      <c r="Q652" s="57"/>
      <c r="R652" s="57"/>
      <c r="S652" s="119"/>
      <c r="T652" s="57"/>
      <c r="AD652" s="122"/>
    </row>
    <row r="653" spans="1:30" ht="12.75" hidden="1" customHeight="1" x14ac:dyDescent="0.2">
      <c r="A653" s="121"/>
      <c r="D653" s="117"/>
      <c r="E653" s="117"/>
      <c r="I653" s="118"/>
      <c r="J653" s="13"/>
      <c r="K653" s="270"/>
      <c r="L653" s="57"/>
      <c r="M653" s="119"/>
      <c r="N653" s="57"/>
      <c r="O653" s="57"/>
      <c r="P653" s="57"/>
      <c r="Q653" s="57"/>
      <c r="R653" s="57"/>
      <c r="S653" s="119"/>
      <c r="T653" s="57"/>
      <c r="AD653" s="122"/>
    </row>
    <row r="654" spans="1:30" ht="12.75" hidden="1" customHeight="1" x14ac:dyDescent="0.2">
      <c r="A654" s="121"/>
      <c r="D654" s="117"/>
      <c r="E654" s="117"/>
      <c r="I654" s="118"/>
      <c r="J654" s="13"/>
      <c r="K654" s="270"/>
      <c r="L654" s="57"/>
      <c r="M654" s="119"/>
      <c r="N654" s="57"/>
      <c r="O654" s="57"/>
      <c r="P654" s="57"/>
      <c r="Q654" s="57"/>
      <c r="R654" s="57"/>
      <c r="S654" s="119"/>
      <c r="T654" s="57"/>
      <c r="AD654" s="122"/>
    </row>
    <row r="655" spans="1:30" ht="12.75" hidden="1" customHeight="1" x14ac:dyDescent="0.2">
      <c r="A655" s="121"/>
      <c r="D655" s="117"/>
      <c r="E655" s="117"/>
      <c r="I655" s="118"/>
      <c r="J655" s="13"/>
      <c r="K655" s="270"/>
      <c r="L655" s="57"/>
      <c r="M655" s="119"/>
      <c r="N655" s="57"/>
      <c r="O655" s="57"/>
      <c r="P655" s="57"/>
      <c r="Q655" s="57"/>
      <c r="R655" s="57"/>
      <c r="S655" s="119"/>
      <c r="T655" s="57"/>
      <c r="AD655" s="122"/>
    </row>
    <row r="656" spans="1:30" ht="12.75" hidden="1" customHeight="1" x14ac:dyDescent="0.2">
      <c r="A656" s="121"/>
      <c r="D656" s="117"/>
      <c r="E656" s="117"/>
      <c r="I656" s="118"/>
      <c r="J656" s="13"/>
      <c r="K656" s="270"/>
      <c r="L656" s="57"/>
      <c r="M656" s="119"/>
      <c r="N656" s="57"/>
      <c r="O656" s="57"/>
      <c r="P656" s="57"/>
      <c r="Q656" s="57"/>
      <c r="R656" s="57"/>
      <c r="S656" s="119"/>
      <c r="T656" s="57"/>
      <c r="AD656" s="122"/>
    </row>
    <row r="657" spans="1:30" ht="12.75" hidden="1" customHeight="1" x14ac:dyDescent="0.2">
      <c r="A657" s="121"/>
      <c r="D657" s="117"/>
      <c r="E657" s="117"/>
      <c r="I657" s="118"/>
      <c r="J657" s="13"/>
      <c r="K657" s="270"/>
      <c r="L657" s="57"/>
      <c r="M657" s="119"/>
      <c r="N657" s="57"/>
      <c r="O657" s="57"/>
      <c r="P657" s="57"/>
      <c r="Q657" s="57"/>
      <c r="R657" s="57"/>
      <c r="S657" s="119"/>
      <c r="T657" s="57"/>
      <c r="AD657" s="122"/>
    </row>
    <row r="658" spans="1:30" ht="12.75" hidden="1" customHeight="1" x14ac:dyDescent="0.2">
      <c r="A658" s="121"/>
      <c r="D658" s="117"/>
      <c r="E658" s="117"/>
      <c r="I658" s="118"/>
      <c r="J658" s="13"/>
      <c r="K658" s="270"/>
      <c r="L658" s="57"/>
      <c r="M658" s="119"/>
      <c r="N658" s="57"/>
      <c r="O658" s="57"/>
      <c r="P658" s="57"/>
      <c r="Q658" s="57"/>
      <c r="R658" s="57"/>
      <c r="S658" s="119"/>
      <c r="T658" s="57"/>
      <c r="AD658" s="122"/>
    </row>
    <row r="659" spans="1:30" ht="12.75" hidden="1" customHeight="1" x14ac:dyDescent="0.2">
      <c r="A659" s="121"/>
      <c r="D659" s="117"/>
      <c r="E659" s="117"/>
      <c r="I659" s="118"/>
      <c r="J659" s="13"/>
      <c r="K659" s="270"/>
      <c r="L659" s="57"/>
      <c r="M659" s="119"/>
      <c r="N659" s="57"/>
      <c r="O659" s="57"/>
      <c r="P659" s="57"/>
      <c r="Q659" s="57"/>
      <c r="R659" s="57"/>
      <c r="S659" s="119"/>
      <c r="T659" s="57"/>
      <c r="AD659" s="122"/>
    </row>
    <row r="660" spans="1:30" ht="12.75" hidden="1" customHeight="1" x14ac:dyDescent="0.2">
      <c r="A660" s="121"/>
      <c r="D660" s="117"/>
      <c r="E660" s="117"/>
      <c r="I660" s="118"/>
      <c r="J660" s="13"/>
      <c r="K660" s="270"/>
      <c r="L660" s="57"/>
      <c r="M660" s="119"/>
      <c r="N660" s="57"/>
      <c r="O660" s="57"/>
      <c r="P660" s="57"/>
      <c r="Q660" s="57"/>
      <c r="R660" s="57"/>
      <c r="S660" s="119"/>
      <c r="T660" s="57"/>
      <c r="AD660" s="122"/>
    </row>
    <row r="661" spans="1:30" ht="12.75" hidden="1" customHeight="1" x14ac:dyDescent="0.2">
      <c r="A661" s="121"/>
      <c r="D661" s="117"/>
      <c r="E661" s="117"/>
      <c r="I661" s="118"/>
      <c r="J661" s="13"/>
      <c r="K661" s="270"/>
      <c r="L661" s="57"/>
      <c r="M661" s="119"/>
      <c r="N661" s="57"/>
      <c r="O661" s="57"/>
      <c r="P661" s="57"/>
      <c r="Q661" s="57"/>
      <c r="R661" s="57"/>
      <c r="S661" s="119"/>
      <c r="T661" s="57"/>
      <c r="AD661" s="122"/>
    </row>
    <row r="662" spans="1:30" ht="12.75" hidden="1" customHeight="1" x14ac:dyDescent="0.2">
      <c r="A662" s="121"/>
      <c r="D662" s="117"/>
      <c r="E662" s="117"/>
      <c r="I662" s="118"/>
      <c r="J662" s="13"/>
      <c r="K662" s="270"/>
      <c r="L662" s="57"/>
      <c r="M662" s="119"/>
      <c r="N662" s="57"/>
      <c r="O662" s="57"/>
      <c r="P662" s="57"/>
      <c r="Q662" s="57"/>
      <c r="R662" s="57"/>
      <c r="S662" s="119"/>
      <c r="T662" s="57"/>
      <c r="AD662" s="122"/>
    </row>
    <row r="663" spans="1:30" ht="12.75" hidden="1" customHeight="1" x14ac:dyDescent="0.2">
      <c r="A663" s="121"/>
      <c r="D663" s="117"/>
      <c r="E663" s="117"/>
      <c r="I663" s="118"/>
      <c r="J663" s="13"/>
      <c r="K663" s="270"/>
      <c r="L663" s="57"/>
      <c r="M663" s="119"/>
      <c r="N663" s="57"/>
      <c r="O663" s="57"/>
      <c r="P663" s="57"/>
      <c r="Q663" s="57"/>
      <c r="R663" s="57"/>
      <c r="S663" s="119"/>
      <c r="T663" s="57"/>
      <c r="AD663" s="122"/>
    </row>
    <row r="664" spans="1:30" ht="12.75" hidden="1" customHeight="1" x14ac:dyDescent="0.2">
      <c r="A664" s="121"/>
      <c r="D664" s="117"/>
      <c r="E664" s="117"/>
      <c r="I664" s="118"/>
      <c r="J664" s="13"/>
      <c r="K664" s="270"/>
      <c r="L664" s="57"/>
      <c r="M664" s="119"/>
      <c r="N664" s="57"/>
      <c r="O664" s="57"/>
      <c r="P664" s="57"/>
      <c r="Q664" s="57"/>
      <c r="R664" s="57"/>
      <c r="S664" s="119"/>
      <c r="T664" s="57"/>
      <c r="AD664" s="122"/>
    </row>
    <row r="665" spans="1:30" ht="12.75" hidden="1" customHeight="1" x14ac:dyDescent="0.2">
      <c r="A665" s="121"/>
      <c r="D665" s="117"/>
      <c r="E665" s="117"/>
      <c r="I665" s="118"/>
      <c r="J665" s="13"/>
      <c r="K665" s="270"/>
      <c r="L665" s="57"/>
      <c r="M665" s="119"/>
      <c r="N665" s="57"/>
      <c r="O665" s="57"/>
      <c r="P665" s="57"/>
      <c r="Q665" s="57"/>
      <c r="R665" s="57"/>
      <c r="S665" s="119"/>
      <c r="T665" s="57"/>
      <c r="AD665" s="122"/>
    </row>
    <row r="666" spans="1:30" ht="12.75" hidden="1" customHeight="1" x14ac:dyDescent="0.2">
      <c r="A666" s="121"/>
      <c r="D666" s="117"/>
      <c r="E666" s="117"/>
      <c r="I666" s="118"/>
      <c r="J666" s="13"/>
      <c r="K666" s="270"/>
      <c r="L666" s="57"/>
      <c r="M666" s="119"/>
      <c r="N666" s="57"/>
      <c r="O666" s="57"/>
      <c r="P666" s="57"/>
      <c r="Q666" s="57"/>
      <c r="R666" s="57"/>
      <c r="S666" s="119"/>
      <c r="T666" s="57"/>
      <c r="AD666" s="122"/>
    </row>
    <row r="667" spans="1:30" ht="12.75" hidden="1" customHeight="1" x14ac:dyDescent="0.2">
      <c r="A667" s="121"/>
      <c r="D667" s="117"/>
      <c r="E667" s="117"/>
      <c r="I667" s="118"/>
      <c r="J667" s="13"/>
      <c r="K667" s="270"/>
      <c r="L667" s="57"/>
      <c r="M667" s="119"/>
      <c r="N667" s="57"/>
      <c r="O667" s="57"/>
      <c r="P667" s="57"/>
      <c r="Q667" s="57"/>
      <c r="R667" s="57"/>
      <c r="S667" s="119"/>
      <c r="T667" s="57"/>
      <c r="AD667" s="122"/>
    </row>
    <row r="668" spans="1:30" ht="12.75" hidden="1" customHeight="1" x14ac:dyDescent="0.2">
      <c r="A668" s="121"/>
      <c r="D668" s="117"/>
      <c r="E668" s="117"/>
      <c r="I668" s="118"/>
      <c r="J668" s="13"/>
      <c r="K668" s="270"/>
      <c r="L668" s="57"/>
      <c r="M668" s="119"/>
      <c r="N668" s="57"/>
      <c r="O668" s="57"/>
      <c r="P668" s="57"/>
      <c r="Q668" s="57"/>
      <c r="R668" s="57"/>
      <c r="S668" s="119"/>
      <c r="T668" s="57"/>
      <c r="AD668" s="122"/>
    </row>
    <row r="669" spans="1:30" ht="12.75" hidden="1" customHeight="1" x14ac:dyDescent="0.2">
      <c r="A669" s="121"/>
      <c r="D669" s="117"/>
      <c r="E669" s="117"/>
      <c r="I669" s="118"/>
      <c r="J669" s="13"/>
      <c r="K669" s="270"/>
      <c r="L669" s="57"/>
      <c r="M669" s="119"/>
      <c r="N669" s="57"/>
      <c r="O669" s="57"/>
      <c r="P669" s="57"/>
      <c r="Q669" s="57"/>
      <c r="R669" s="57"/>
      <c r="S669" s="119"/>
      <c r="T669" s="57"/>
      <c r="AD669" s="122"/>
    </row>
    <row r="670" spans="1:30" ht="12.75" hidden="1" customHeight="1" x14ac:dyDescent="0.2">
      <c r="A670" s="121"/>
      <c r="D670" s="117"/>
      <c r="E670" s="117"/>
      <c r="I670" s="118"/>
      <c r="J670" s="13"/>
      <c r="K670" s="270"/>
      <c r="L670" s="57"/>
      <c r="M670" s="119"/>
      <c r="N670" s="57"/>
      <c r="O670" s="57"/>
      <c r="P670" s="57"/>
      <c r="Q670" s="57"/>
      <c r="R670" s="57"/>
      <c r="S670" s="119"/>
      <c r="T670" s="57"/>
      <c r="AD670" s="122"/>
    </row>
    <row r="671" spans="1:30" ht="12.75" hidden="1" customHeight="1" x14ac:dyDescent="0.2">
      <c r="A671" s="121"/>
      <c r="D671" s="117"/>
      <c r="E671" s="117"/>
      <c r="I671" s="118"/>
      <c r="J671" s="13"/>
      <c r="K671" s="270"/>
      <c r="L671" s="57"/>
      <c r="M671" s="119"/>
      <c r="N671" s="57"/>
      <c r="O671" s="57"/>
      <c r="P671" s="57"/>
      <c r="Q671" s="57"/>
      <c r="R671" s="57"/>
      <c r="S671" s="119"/>
      <c r="T671" s="57"/>
      <c r="AD671" s="122"/>
    </row>
    <row r="672" spans="1:30" ht="12.75" hidden="1" customHeight="1" x14ac:dyDescent="0.2">
      <c r="A672" s="121"/>
      <c r="D672" s="117"/>
      <c r="E672" s="117"/>
      <c r="I672" s="118"/>
      <c r="J672" s="13"/>
      <c r="K672" s="270"/>
      <c r="L672" s="57"/>
      <c r="M672" s="119"/>
      <c r="N672" s="57"/>
      <c r="O672" s="57"/>
      <c r="P672" s="57"/>
      <c r="Q672" s="57"/>
      <c r="R672" s="57"/>
      <c r="S672" s="119"/>
      <c r="T672" s="57"/>
      <c r="AD672" s="122"/>
    </row>
    <row r="673" spans="1:30" ht="12.75" hidden="1" customHeight="1" x14ac:dyDescent="0.2">
      <c r="A673" s="121"/>
      <c r="D673" s="117"/>
      <c r="E673" s="117"/>
      <c r="I673" s="118"/>
      <c r="J673" s="13"/>
      <c r="K673" s="270"/>
      <c r="L673" s="57"/>
      <c r="M673" s="119"/>
      <c r="N673" s="57"/>
      <c r="O673" s="57"/>
      <c r="P673" s="57"/>
      <c r="Q673" s="57"/>
      <c r="R673" s="57"/>
      <c r="S673" s="119"/>
      <c r="T673" s="57"/>
      <c r="AD673" s="122"/>
    </row>
    <row r="674" spans="1:30" ht="12.75" hidden="1" customHeight="1" x14ac:dyDescent="0.2">
      <c r="A674" s="121"/>
      <c r="D674" s="117"/>
      <c r="E674" s="117"/>
      <c r="I674" s="118"/>
      <c r="J674" s="13"/>
      <c r="K674" s="270"/>
      <c r="L674" s="57"/>
      <c r="M674" s="119"/>
      <c r="N674" s="57"/>
      <c r="O674" s="57"/>
      <c r="P674" s="57"/>
      <c r="Q674" s="57"/>
      <c r="R674" s="57"/>
      <c r="S674" s="119"/>
      <c r="T674" s="57"/>
      <c r="AD674" s="122"/>
    </row>
    <row r="675" spans="1:30" ht="12.75" hidden="1" customHeight="1" x14ac:dyDescent="0.2">
      <c r="A675" s="121"/>
      <c r="D675" s="117"/>
      <c r="E675" s="117"/>
      <c r="I675" s="118"/>
      <c r="J675" s="13"/>
      <c r="K675" s="270"/>
      <c r="L675" s="57"/>
      <c r="M675" s="119"/>
      <c r="N675" s="57"/>
      <c r="O675" s="57"/>
      <c r="P675" s="57"/>
      <c r="Q675" s="57"/>
      <c r="R675" s="57"/>
      <c r="S675" s="119"/>
      <c r="T675" s="57"/>
      <c r="AD675" s="122"/>
    </row>
    <row r="676" spans="1:30" ht="12.75" hidden="1" customHeight="1" x14ac:dyDescent="0.2">
      <c r="A676" s="121"/>
      <c r="D676" s="117"/>
      <c r="E676" s="117"/>
      <c r="I676" s="118"/>
      <c r="J676" s="13"/>
      <c r="K676" s="270"/>
      <c r="L676" s="57"/>
      <c r="M676" s="119"/>
      <c r="N676" s="57"/>
      <c r="O676" s="57"/>
      <c r="P676" s="57"/>
      <c r="Q676" s="57"/>
      <c r="R676" s="57"/>
      <c r="S676" s="119"/>
      <c r="T676" s="57"/>
      <c r="AD676" s="122"/>
    </row>
    <row r="677" spans="1:30" ht="12.75" hidden="1" customHeight="1" x14ac:dyDescent="0.2">
      <c r="A677" s="121"/>
      <c r="D677" s="117"/>
      <c r="E677" s="117"/>
      <c r="I677" s="118"/>
      <c r="J677" s="13"/>
      <c r="K677" s="270"/>
      <c r="L677" s="57"/>
      <c r="M677" s="119"/>
      <c r="N677" s="57"/>
      <c r="O677" s="57"/>
      <c r="P677" s="57"/>
      <c r="Q677" s="57"/>
      <c r="R677" s="57"/>
      <c r="S677" s="119"/>
      <c r="T677" s="57"/>
      <c r="AD677" s="122"/>
    </row>
    <row r="678" spans="1:30" ht="12.75" hidden="1" customHeight="1" x14ac:dyDescent="0.2">
      <c r="A678" s="121"/>
      <c r="D678" s="117"/>
      <c r="E678" s="117"/>
      <c r="I678" s="118"/>
      <c r="J678" s="13"/>
      <c r="K678" s="270"/>
      <c r="L678" s="57"/>
      <c r="M678" s="119"/>
      <c r="N678" s="57"/>
      <c r="O678" s="57"/>
      <c r="P678" s="57"/>
      <c r="Q678" s="57"/>
      <c r="R678" s="57"/>
      <c r="S678" s="119"/>
      <c r="T678" s="57"/>
      <c r="AD678" s="122"/>
    </row>
    <row r="679" spans="1:30" ht="12.75" hidden="1" customHeight="1" x14ac:dyDescent="0.2">
      <c r="A679" s="121"/>
      <c r="D679" s="117"/>
      <c r="E679" s="117"/>
      <c r="I679" s="118"/>
      <c r="J679" s="13"/>
      <c r="K679" s="270"/>
      <c r="L679" s="57"/>
      <c r="M679" s="119"/>
      <c r="N679" s="57"/>
      <c r="O679" s="57"/>
      <c r="P679" s="57"/>
      <c r="Q679" s="57"/>
      <c r="R679" s="57"/>
      <c r="S679" s="119"/>
      <c r="T679" s="57"/>
      <c r="AD679" s="122"/>
    </row>
    <row r="680" spans="1:30" ht="12.75" hidden="1" customHeight="1" x14ac:dyDescent="0.2">
      <c r="A680" s="121"/>
      <c r="D680" s="117"/>
      <c r="E680" s="117"/>
      <c r="I680" s="118"/>
      <c r="J680" s="13"/>
      <c r="K680" s="270"/>
      <c r="L680" s="57"/>
      <c r="M680" s="119"/>
      <c r="N680" s="57"/>
      <c r="O680" s="57"/>
      <c r="P680" s="57"/>
      <c r="Q680" s="57"/>
      <c r="R680" s="57"/>
      <c r="S680" s="119"/>
      <c r="T680" s="57"/>
      <c r="AD680" s="122"/>
    </row>
    <row r="681" spans="1:30" ht="12.75" hidden="1" customHeight="1" x14ac:dyDescent="0.2">
      <c r="A681" s="121"/>
      <c r="D681" s="117"/>
      <c r="E681" s="117"/>
      <c r="I681" s="118"/>
      <c r="J681" s="13"/>
      <c r="K681" s="270"/>
      <c r="L681" s="57"/>
      <c r="M681" s="119"/>
      <c r="N681" s="57"/>
      <c r="O681" s="57"/>
      <c r="P681" s="57"/>
      <c r="Q681" s="57"/>
      <c r="R681" s="57"/>
      <c r="S681" s="119"/>
      <c r="T681" s="57"/>
      <c r="AD681" s="122"/>
    </row>
    <row r="682" spans="1:30" ht="12.75" hidden="1" customHeight="1" x14ac:dyDescent="0.2">
      <c r="A682" s="121"/>
      <c r="D682" s="117"/>
      <c r="E682" s="117"/>
      <c r="I682" s="118"/>
      <c r="J682" s="13"/>
      <c r="K682" s="270"/>
      <c r="L682" s="57"/>
      <c r="M682" s="119"/>
      <c r="N682" s="57"/>
      <c r="O682" s="57"/>
      <c r="P682" s="57"/>
      <c r="Q682" s="57"/>
      <c r="R682" s="57"/>
      <c r="S682" s="119"/>
      <c r="T682" s="57"/>
      <c r="AD682" s="122"/>
    </row>
    <row r="683" spans="1:30" ht="12.75" hidden="1" customHeight="1" x14ac:dyDescent="0.2">
      <c r="A683" s="121"/>
      <c r="D683" s="117"/>
      <c r="E683" s="117"/>
      <c r="I683" s="118"/>
      <c r="J683" s="13"/>
      <c r="K683" s="270"/>
      <c r="L683" s="57"/>
      <c r="M683" s="119"/>
      <c r="N683" s="57"/>
      <c r="O683" s="57"/>
      <c r="P683" s="57"/>
      <c r="Q683" s="57"/>
      <c r="R683" s="57"/>
      <c r="S683" s="119"/>
      <c r="T683" s="57"/>
      <c r="AD683" s="122"/>
    </row>
    <row r="684" spans="1:30" ht="12.75" hidden="1" customHeight="1" x14ac:dyDescent="0.2">
      <c r="A684" s="121"/>
      <c r="D684" s="117"/>
      <c r="E684" s="117"/>
      <c r="I684" s="118"/>
      <c r="J684" s="13"/>
      <c r="K684" s="270"/>
      <c r="L684" s="57"/>
      <c r="M684" s="119"/>
      <c r="N684" s="57"/>
      <c r="O684" s="57"/>
      <c r="P684" s="57"/>
      <c r="Q684" s="57"/>
      <c r="R684" s="57"/>
      <c r="S684" s="119"/>
      <c r="T684" s="57"/>
      <c r="AD684" s="122"/>
    </row>
    <row r="685" spans="1:30" ht="12.75" hidden="1" customHeight="1" x14ac:dyDescent="0.2">
      <c r="A685" s="121"/>
      <c r="D685" s="117"/>
      <c r="E685" s="117"/>
      <c r="I685" s="118"/>
      <c r="J685" s="13"/>
      <c r="K685" s="270"/>
      <c r="L685" s="57"/>
      <c r="M685" s="119"/>
      <c r="N685" s="57"/>
      <c r="O685" s="57"/>
      <c r="P685" s="57"/>
      <c r="Q685" s="57"/>
      <c r="R685" s="57"/>
      <c r="S685" s="119"/>
      <c r="T685" s="57"/>
      <c r="AD685" s="122"/>
    </row>
    <row r="686" spans="1:30" ht="12.75" hidden="1" customHeight="1" x14ac:dyDescent="0.2">
      <c r="A686" s="121"/>
      <c r="D686" s="117"/>
      <c r="E686" s="117"/>
      <c r="I686" s="118"/>
      <c r="J686" s="13"/>
      <c r="K686" s="270"/>
      <c r="L686" s="57"/>
      <c r="M686" s="119"/>
      <c r="N686" s="57"/>
      <c r="O686" s="57"/>
      <c r="P686" s="57"/>
      <c r="Q686" s="57"/>
      <c r="R686" s="57"/>
      <c r="S686" s="119"/>
      <c r="T686" s="57"/>
      <c r="AD686" s="122"/>
    </row>
    <row r="687" spans="1:30" ht="12.75" hidden="1" customHeight="1" x14ac:dyDescent="0.2">
      <c r="A687" s="121"/>
      <c r="D687" s="117"/>
      <c r="E687" s="117"/>
      <c r="I687" s="118"/>
      <c r="J687" s="13"/>
      <c r="K687" s="270"/>
      <c r="L687" s="57"/>
      <c r="M687" s="119"/>
      <c r="N687" s="57"/>
      <c r="O687" s="57"/>
      <c r="P687" s="57"/>
      <c r="Q687" s="57"/>
      <c r="R687" s="57"/>
      <c r="S687" s="119"/>
      <c r="T687" s="57"/>
      <c r="AD687" s="122"/>
    </row>
    <row r="688" spans="1:30" ht="12.75" hidden="1" customHeight="1" x14ac:dyDescent="0.2">
      <c r="A688" s="121"/>
      <c r="D688" s="117"/>
      <c r="E688" s="117"/>
      <c r="I688" s="118"/>
      <c r="J688" s="13"/>
      <c r="K688" s="270"/>
      <c r="L688" s="57"/>
      <c r="M688" s="119"/>
      <c r="N688" s="57"/>
      <c r="O688" s="57"/>
      <c r="P688" s="57"/>
      <c r="Q688" s="57"/>
      <c r="R688" s="57"/>
      <c r="S688" s="119"/>
      <c r="T688" s="57"/>
      <c r="AD688" s="122"/>
    </row>
    <row r="689" spans="1:30" ht="12.75" hidden="1" customHeight="1" x14ac:dyDescent="0.2">
      <c r="A689" s="121"/>
      <c r="D689" s="117"/>
      <c r="E689" s="117"/>
      <c r="I689" s="118"/>
      <c r="J689" s="13"/>
      <c r="K689" s="270"/>
      <c r="L689" s="57"/>
      <c r="M689" s="119"/>
      <c r="N689" s="57"/>
      <c r="O689" s="57"/>
      <c r="P689" s="57"/>
      <c r="Q689" s="57"/>
      <c r="R689" s="57"/>
      <c r="S689" s="119"/>
      <c r="T689" s="57"/>
      <c r="AD689" s="122"/>
    </row>
    <row r="690" spans="1:30" ht="12.75" hidden="1" customHeight="1" x14ac:dyDescent="0.2">
      <c r="A690" s="121"/>
      <c r="D690" s="117"/>
      <c r="E690" s="117"/>
      <c r="I690" s="118"/>
      <c r="J690" s="13"/>
      <c r="K690" s="270"/>
      <c r="L690" s="57"/>
      <c r="M690" s="119"/>
      <c r="N690" s="57"/>
      <c r="O690" s="57"/>
      <c r="P690" s="57"/>
      <c r="Q690" s="57"/>
      <c r="R690" s="57"/>
      <c r="S690" s="119"/>
      <c r="T690" s="57"/>
      <c r="AD690" s="122"/>
    </row>
    <row r="691" spans="1:30" ht="12.75" hidden="1" customHeight="1" x14ac:dyDescent="0.2">
      <c r="A691" s="121"/>
      <c r="D691" s="117"/>
      <c r="E691" s="117"/>
      <c r="I691" s="118"/>
      <c r="J691" s="13"/>
      <c r="K691" s="270"/>
      <c r="L691" s="57"/>
      <c r="M691" s="119"/>
      <c r="N691" s="57"/>
      <c r="O691" s="57"/>
      <c r="P691" s="57"/>
      <c r="Q691" s="57"/>
      <c r="R691" s="57"/>
      <c r="S691" s="119"/>
      <c r="T691" s="57"/>
      <c r="AD691" s="122"/>
    </row>
    <row r="692" spans="1:30" ht="12.75" hidden="1" customHeight="1" x14ac:dyDescent="0.2">
      <c r="A692" s="121"/>
      <c r="D692" s="117"/>
      <c r="E692" s="117"/>
      <c r="I692" s="118"/>
      <c r="J692" s="13"/>
      <c r="K692" s="270"/>
      <c r="L692" s="57"/>
      <c r="M692" s="119"/>
      <c r="N692" s="57"/>
      <c r="O692" s="57"/>
      <c r="P692" s="57"/>
      <c r="Q692" s="57"/>
      <c r="R692" s="57"/>
      <c r="S692" s="119"/>
      <c r="T692" s="57"/>
      <c r="AD692" s="122"/>
    </row>
    <row r="693" spans="1:30" ht="12.75" hidden="1" customHeight="1" x14ac:dyDescent="0.2">
      <c r="A693" s="121"/>
      <c r="D693" s="117"/>
      <c r="E693" s="117"/>
      <c r="I693" s="118"/>
      <c r="J693" s="13"/>
      <c r="K693" s="270"/>
      <c r="L693" s="57"/>
      <c r="M693" s="119"/>
      <c r="N693" s="57"/>
      <c r="O693" s="57"/>
      <c r="P693" s="57"/>
      <c r="Q693" s="57"/>
      <c r="R693" s="57"/>
      <c r="S693" s="119"/>
      <c r="T693" s="57"/>
      <c r="AD693" s="122"/>
    </row>
    <row r="694" spans="1:30" ht="12.75" hidden="1" customHeight="1" x14ac:dyDescent="0.2">
      <c r="A694" s="121"/>
      <c r="D694" s="117"/>
      <c r="E694" s="117"/>
      <c r="I694" s="118"/>
      <c r="J694" s="13"/>
      <c r="K694" s="270"/>
      <c r="L694" s="57"/>
      <c r="M694" s="119"/>
      <c r="N694" s="57"/>
      <c r="O694" s="57"/>
      <c r="P694" s="57"/>
      <c r="Q694" s="57"/>
      <c r="R694" s="57"/>
      <c r="S694" s="119"/>
      <c r="T694" s="57"/>
      <c r="AD694" s="122"/>
    </row>
    <row r="695" spans="1:30" ht="12.75" hidden="1" customHeight="1" x14ac:dyDescent="0.2">
      <c r="A695" s="121"/>
      <c r="D695" s="117"/>
      <c r="E695" s="117"/>
      <c r="I695" s="118"/>
      <c r="J695" s="13"/>
      <c r="K695" s="270"/>
      <c r="L695" s="57"/>
      <c r="M695" s="119"/>
      <c r="N695" s="57"/>
      <c r="O695" s="57"/>
      <c r="P695" s="57"/>
      <c r="Q695" s="57"/>
      <c r="R695" s="57"/>
      <c r="S695" s="119"/>
      <c r="T695" s="57"/>
      <c r="AD695" s="122"/>
    </row>
    <row r="696" spans="1:30" ht="12.75" hidden="1" customHeight="1" x14ac:dyDescent="0.2">
      <c r="A696" s="121"/>
      <c r="D696" s="117"/>
      <c r="E696" s="117"/>
      <c r="I696" s="118"/>
      <c r="J696" s="13"/>
      <c r="K696" s="270"/>
      <c r="L696" s="57"/>
      <c r="M696" s="119"/>
      <c r="N696" s="57"/>
      <c r="O696" s="57"/>
      <c r="P696" s="57"/>
      <c r="Q696" s="57"/>
      <c r="R696" s="57"/>
      <c r="S696" s="119"/>
      <c r="T696" s="57"/>
      <c r="AD696" s="122"/>
    </row>
    <row r="697" spans="1:30" ht="12.75" hidden="1" customHeight="1" x14ac:dyDescent="0.2">
      <c r="A697" s="121"/>
      <c r="D697" s="117"/>
      <c r="E697" s="117"/>
      <c r="I697" s="118"/>
      <c r="J697" s="13"/>
      <c r="K697" s="270"/>
      <c r="L697" s="57"/>
      <c r="M697" s="119"/>
      <c r="N697" s="57"/>
      <c r="O697" s="57"/>
      <c r="P697" s="57"/>
      <c r="Q697" s="57"/>
      <c r="R697" s="57"/>
      <c r="S697" s="119"/>
      <c r="T697" s="57"/>
      <c r="AD697" s="122"/>
    </row>
    <row r="698" spans="1:30" ht="12.75" hidden="1" customHeight="1" x14ac:dyDescent="0.2">
      <c r="A698" s="121"/>
      <c r="D698" s="117"/>
      <c r="E698" s="117"/>
      <c r="I698" s="118"/>
      <c r="J698" s="13"/>
      <c r="K698" s="270"/>
      <c r="L698" s="57"/>
      <c r="M698" s="119"/>
      <c r="N698" s="57"/>
      <c r="O698" s="57"/>
      <c r="P698" s="57"/>
      <c r="Q698" s="57"/>
      <c r="R698" s="57"/>
      <c r="S698" s="119"/>
      <c r="T698" s="57"/>
      <c r="AD698" s="122"/>
    </row>
    <row r="699" spans="1:30" ht="12.75" hidden="1" customHeight="1" x14ac:dyDescent="0.2">
      <c r="A699" s="121"/>
      <c r="D699" s="117"/>
      <c r="E699" s="117"/>
      <c r="I699" s="118"/>
      <c r="J699" s="13"/>
      <c r="K699" s="270"/>
      <c r="L699" s="57"/>
      <c r="M699" s="119"/>
      <c r="N699" s="57"/>
      <c r="O699" s="57"/>
      <c r="P699" s="57"/>
      <c r="Q699" s="57"/>
      <c r="R699" s="57"/>
      <c r="S699" s="119"/>
      <c r="T699" s="57"/>
      <c r="AD699" s="122"/>
    </row>
    <row r="700" spans="1:30" ht="12.75" hidden="1" customHeight="1" x14ac:dyDescent="0.2">
      <c r="A700" s="121"/>
      <c r="D700" s="117"/>
      <c r="E700" s="117"/>
      <c r="I700" s="118"/>
      <c r="J700" s="13"/>
      <c r="K700" s="270"/>
      <c r="L700" s="57"/>
      <c r="M700" s="119"/>
      <c r="N700" s="57"/>
      <c r="O700" s="57"/>
      <c r="P700" s="57"/>
      <c r="Q700" s="57"/>
      <c r="R700" s="57"/>
      <c r="S700" s="119"/>
      <c r="T700" s="57"/>
      <c r="AD700" s="122"/>
    </row>
    <row r="701" spans="1:30" ht="12.75" hidden="1" customHeight="1" x14ac:dyDescent="0.2">
      <c r="A701" s="121"/>
      <c r="D701" s="117"/>
      <c r="E701" s="117"/>
      <c r="I701" s="118"/>
      <c r="J701" s="13"/>
      <c r="K701" s="270"/>
      <c r="L701" s="57"/>
      <c r="M701" s="119"/>
      <c r="N701" s="57"/>
      <c r="O701" s="57"/>
      <c r="P701" s="57"/>
      <c r="Q701" s="57"/>
      <c r="R701" s="57"/>
      <c r="S701" s="119"/>
      <c r="T701" s="57"/>
      <c r="AD701" s="122"/>
    </row>
    <row r="702" spans="1:30" ht="12.75" hidden="1" customHeight="1" x14ac:dyDescent="0.2">
      <c r="A702" s="121"/>
      <c r="D702" s="117"/>
      <c r="E702" s="117"/>
      <c r="I702" s="118"/>
      <c r="J702" s="13"/>
      <c r="K702" s="270"/>
      <c r="L702" s="57"/>
      <c r="M702" s="119"/>
      <c r="N702" s="57"/>
      <c r="O702" s="57"/>
      <c r="P702" s="57"/>
      <c r="Q702" s="57"/>
      <c r="R702" s="57"/>
      <c r="S702" s="119"/>
      <c r="T702" s="57"/>
      <c r="AD702" s="122"/>
    </row>
    <row r="703" spans="1:30" ht="12.75" hidden="1" customHeight="1" x14ac:dyDescent="0.2">
      <c r="A703" s="121"/>
      <c r="D703" s="117"/>
      <c r="E703" s="117"/>
      <c r="I703" s="118"/>
      <c r="J703" s="13"/>
      <c r="K703" s="270"/>
      <c r="L703" s="57"/>
      <c r="M703" s="119"/>
      <c r="N703" s="57"/>
      <c r="O703" s="57"/>
      <c r="P703" s="57"/>
      <c r="Q703" s="57"/>
      <c r="R703" s="57"/>
      <c r="S703" s="119"/>
      <c r="T703" s="57"/>
      <c r="AD703" s="122"/>
    </row>
    <row r="704" spans="1:30" ht="12.75" hidden="1" customHeight="1" x14ac:dyDescent="0.2">
      <c r="A704" s="121"/>
      <c r="D704" s="117"/>
      <c r="E704" s="117"/>
      <c r="I704" s="118"/>
      <c r="J704" s="13"/>
      <c r="K704" s="270"/>
      <c r="L704" s="57"/>
      <c r="M704" s="119"/>
      <c r="N704" s="57"/>
      <c r="O704" s="57"/>
      <c r="P704" s="57"/>
      <c r="Q704" s="57"/>
      <c r="R704" s="57"/>
      <c r="S704" s="119"/>
      <c r="T704" s="57"/>
      <c r="AD704" s="122"/>
    </row>
    <row r="705" spans="1:30" ht="12.75" hidden="1" customHeight="1" x14ac:dyDescent="0.2">
      <c r="A705" s="121"/>
      <c r="D705" s="117"/>
      <c r="E705" s="117"/>
      <c r="I705" s="118"/>
      <c r="J705" s="13"/>
      <c r="K705" s="270"/>
      <c r="L705" s="57"/>
      <c r="M705" s="119"/>
      <c r="N705" s="57"/>
      <c r="O705" s="57"/>
      <c r="P705" s="57"/>
      <c r="Q705" s="57"/>
      <c r="R705" s="57"/>
      <c r="S705" s="119"/>
      <c r="T705" s="57"/>
      <c r="AD705" s="122"/>
    </row>
    <row r="706" spans="1:30" ht="12.75" hidden="1" customHeight="1" x14ac:dyDescent="0.2">
      <c r="A706" s="121"/>
      <c r="D706" s="117"/>
      <c r="E706" s="117"/>
      <c r="I706" s="118"/>
      <c r="J706" s="13"/>
      <c r="K706" s="270"/>
      <c r="L706" s="57"/>
      <c r="M706" s="119"/>
      <c r="N706" s="57"/>
      <c r="O706" s="57"/>
      <c r="P706" s="57"/>
      <c r="Q706" s="57"/>
      <c r="R706" s="57"/>
      <c r="S706" s="119"/>
      <c r="T706" s="57"/>
      <c r="AD706" s="122"/>
    </row>
    <row r="707" spans="1:30" ht="12.75" hidden="1" customHeight="1" x14ac:dyDescent="0.2">
      <c r="A707" s="121"/>
      <c r="D707" s="117"/>
      <c r="E707" s="117"/>
      <c r="I707" s="118"/>
      <c r="J707" s="13"/>
      <c r="K707" s="270"/>
      <c r="L707" s="57"/>
      <c r="M707" s="119"/>
      <c r="N707" s="57"/>
      <c r="O707" s="57"/>
      <c r="P707" s="57"/>
      <c r="Q707" s="57"/>
      <c r="R707" s="57"/>
      <c r="S707" s="119"/>
      <c r="T707" s="57"/>
      <c r="AD707" s="122"/>
    </row>
    <row r="708" spans="1:30" ht="12.75" hidden="1" customHeight="1" x14ac:dyDescent="0.2">
      <c r="A708" s="121"/>
      <c r="D708" s="117"/>
      <c r="E708" s="117"/>
      <c r="I708" s="118"/>
      <c r="J708" s="13"/>
      <c r="K708" s="270"/>
      <c r="L708" s="57"/>
      <c r="M708" s="119"/>
      <c r="N708" s="57"/>
      <c r="O708" s="57"/>
      <c r="P708" s="57"/>
      <c r="Q708" s="57"/>
      <c r="R708" s="57"/>
      <c r="S708" s="119"/>
      <c r="T708" s="57"/>
      <c r="AD708" s="122"/>
    </row>
    <row r="709" spans="1:30" ht="12.75" hidden="1" customHeight="1" x14ac:dyDescent="0.2">
      <c r="A709" s="121"/>
      <c r="D709" s="117"/>
      <c r="E709" s="117"/>
      <c r="I709" s="118"/>
      <c r="J709" s="13"/>
      <c r="K709" s="270"/>
      <c r="L709" s="57"/>
      <c r="M709" s="119"/>
      <c r="N709" s="57"/>
      <c r="O709" s="57"/>
      <c r="P709" s="57"/>
      <c r="Q709" s="57"/>
      <c r="R709" s="57"/>
      <c r="S709" s="119"/>
      <c r="T709" s="57"/>
      <c r="AD709" s="122"/>
    </row>
    <row r="710" spans="1:30" ht="12.75" hidden="1" customHeight="1" x14ac:dyDescent="0.2">
      <c r="A710" s="121"/>
      <c r="D710" s="117"/>
      <c r="E710" s="117"/>
      <c r="I710" s="118"/>
      <c r="J710" s="13"/>
      <c r="K710" s="270"/>
      <c r="L710" s="57"/>
      <c r="M710" s="119"/>
      <c r="N710" s="57"/>
      <c r="O710" s="57"/>
      <c r="P710" s="57"/>
      <c r="Q710" s="57"/>
      <c r="R710" s="57"/>
      <c r="S710" s="119"/>
      <c r="T710" s="57"/>
      <c r="AD710" s="122"/>
    </row>
    <row r="711" spans="1:30" ht="12.75" hidden="1" customHeight="1" x14ac:dyDescent="0.2">
      <c r="A711" s="121"/>
      <c r="D711" s="117"/>
      <c r="E711" s="117"/>
      <c r="I711" s="118"/>
      <c r="J711" s="13"/>
      <c r="K711" s="270"/>
      <c r="L711" s="57"/>
      <c r="M711" s="119"/>
      <c r="N711" s="57"/>
      <c r="O711" s="57"/>
      <c r="P711" s="57"/>
      <c r="Q711" s="57"/>
      <c r="R711" s="57"/>
      <c r="S711" s="119"/>
      <c r="T711" s="57"/>
      <c r="AD711" s="122"/>
    </row>
    <row r="712" spans="1:30" ht="12.75" hidden="1" customHeight="1" x14ac:dyDescent="0.2">
      <c r="A712" s="121"/>
      <c r="D712" s="117"/>
      <c r="E712" s="117"/>
      <c r="I712" s="118"/>
      <c r="J712" s="13"/>
      <c r="K712" s="270"/>
      <c r="L712" s="57"/>
      <c r="M712" s="119"/>
      <c r="N712" s="57"/>
      <c r="O712" s="57"/>
      <c r="P712" s="57"/>
      <c r="Q712" s="57"/>
      <c r="R712" s="57"/>
      <c r="S712" s="119"/>
      <c r="T712" s="57"/>
      <c r="AD712" s="122"/>
    </row>
    <row r="713" spans="1:30" ht="12.75" hidden="1" customHeight="1" x14ac:dyDescent="0.2">
      <c r="A713" s="121"/>
      <c r="D713" s="117"/>
      <c r="E713" s="117"/>
      <c r="I713" s="118"/>
      <c r="J713" s="13"/>
      <c r="K713" s="270"/>
      <c r="L713" s="57"/>
      <c r="M713" s="119"/>
      <c r="N713" s="57"/>
      <c r="O713" s="57"/>
      <c r="P713" s="57"/>
      <c r="Q713" s="57"/>
      <c r="R713" s="57"/>
      <c r="S713" s="119"/>
      <c r="T713" s="57"/>
      <c r="AD713" s="122"/>
    </row>
    <row r="714" spans="1:30" ht="12.75" hidden="1" customHeight="1" x14ac:dyDescent="0.2">
      <c r="A714" s="121"/>
      <c r="D714" s="117"/>
      <c r="E714" s="117"/>
      <c r="I714" s="118"/>
      <c r="J714" s="13"/>
      <c r="K714" s="270"/>
      <c r="L714" s="57"/>
      <c r="M714" s="119"/>
      <c r="N714" s="57"/>
      <c r="O714" s="57"/>
      <c r="P714" s="57"/>
      <c r="Q714" s="57"/>
      <c r="R714" s="57"/>
      <c r="S714" s="119"/>
      <c r="T714" s="57"/>
      <c r="AD714" s="122"/>
    </row>
    <row r="715" spans="1:30" ht="12.75" hidden="1" customHeight="1" x14ac:dyDescent="0.2">
      <c r="A715" s="121"/>
      <c r="D715" s="117"/>
      <c r="E715" s="117"/>
      <c r="I715" s="118"/>
      <c r="J715" s="13"/>
      <c r="K715" s="270"/>
      <c r="L715" s="57"/>
      <c r="M715" s="119"/>
      <c r="N715" s="57"/>
      <c r="O715" s="57"/>
      <c r="P715" s="57"/>
      <c r="Q715" s="57"/>
      <c r="R715" s="57"/>
      <c r="S715" s="119"/>
      <c r="T715" s="57"/>
      <c r="AD715" s="122"/>
    </row>
    <row r="716" spans="1:30" ht="12.75" hidden="1" customHeight="1" x14ac:dyDescent="0.2">
      <c r="A716" s="121"/>
      <c r="D716" s="117"/>
      <c r="E716" s="117"/>
      <c r="I716" s="118"/>
      <c r="J716" s="13"/>
      <c r="K716" s="270"/>
      <c r="L716" s="57"/>
      <c r="M716" s="119"/>
      <c r="N716" s="57"/>
      <c r="O716" s="57"/>
      <c r="P716" s="57"/>
      <c r="Q716" s="57"/>
      <c r="R716" s="57"/>
      <c r="S716" s="119"/>
      <c r="T716" s="57"/>
      <c r="AD716" s="122"/>
    </row>
    <row r="717" spans="1:30" ht="12.75" hidden="1" customHeight="1" x14ac:dyDescent="0.2">
      <c r="A717" s="121"/>
      <c r="D717" s="117"/>
      <c r="E717" s="117"/>
      <c r="I717" s="118"/>
      <c r="J717" s="13"/>
      <c r="K717" s="270"/>
      <c r="L717" s="57"/>
      <c r="M717" s="119"/>
      <c r="N717" s="57"/>
      <c r="O717" s="57"/>
      <c r="P717" s="57"/>
      <c r="Q717" s="57"/>
      <c r="R717" s="57"/>
      <c r="S717" s="119"/>
      <c r="T717" s="57"/>
      <c r="AD717" s="122"/>
    </row>
    <row r="718" spans="1:30" ht="12.75" hidden="1" customHeight="1" x14ac:dyDescent="0.2">
      <c r="A718" s="121"/>
      <c r="D718" s="117"/>
      <c r="E718" s="117"/>
      <c r="I718" s="118"/>
      <c r="J718" s="13"/>
      <c r="K718" s="270"/>
      <c r="L718" s="57"/>
      <c r="M718" s="119"/>
      <c r="N718" s="57"/>
      <c r="O718" s="57"/>
      <c r="P718" s="57"/>
      <c r="Q718" s="57"/>
      <c r="R718" s="57"/>
      <c r="S718" s="119"/>
      <c r="T718" s="57"/>
      <c r="AD718" s="122"/>
    </row>
    <row r="719" spans="1:30" ht="12.75" hidden="1" customHeight="1" x14ac:dyDescent="0.2">
      <c r="A719" s="121"/>
      <c r="D719" s="117"/>
      <c r="E719" s="117"/>
      <c r="I719" s="118"/>
      <c r="J719" s="13"/>
      <c r="K719" s="270"/>
      <c r="L719" s="57"/>
      <c r="M719" s="119"/>
      <c r="N719" s="57"/>
      <c r="O719" s="57"/>
      <c r="P719" s="57"/>
      <c r="Q719" s="57"/>
      <c r="R719" s="57"/>
      <c r="S719" s="119"/>
      <c r="T719" s="57"/>
      <c r="AD719" s="122"/>
    </row>
    <row r="720" spans="1:30" ht="12.75" hidden="1" customHeight="1" x14ac:dyDescent="0.2">
      <c r="A720" s="121"/>
      <c r="D720" s="117"/>
      <c r="E720" s="117"/>
      <c r="I720" s="118"/>
      <c r="J720" s="13"/>
      <c r="K720" s="270"/>
      <c r="L720" s="57"/>
      <c r="M720" s="119"/>
      <c r="N720" s="57"/>
      <c r="O720" s="57"/>
      <c r="P720" s="57"/>
      <c r="Q720" s="57"/>
      <c r="R720" s="57"/>
      <c r="S720" s="119"/>
      <c r="T720" s="57"/>
      <c r="AD720" s="122"/>
    </row>
    <row r="721" spans="1:30" ht="12.75" hidden="1" customHeight="1" x14ac:dyDescent="0.2">
      <c r="A721" s="121"/>
      <c r="D721" s="117"/>
      <c r="E721" s="117"/>
      <c r="I721" s="118"/>
      <c r="J721" s="13"/>
      <c r="K721" s="270"/>
      <c r="L721" s="57"/>
      <c r="M721" s="119"/>
      <c r="N721" s="57"/>
      <c r="O721" s="57"/>
      <c r="P721" s="57"/>
      <c r="Q721" s="57"/>
      <c r="R721" s="57"/>
      <c r="S721" s="119"/>
      <c r="T721" s="57"/>
      <c r="AD721" s="122"/>
    </row>
    <row r="722" spans="1:30" ht="12.75" hidden="1" customHeight="1" x14ac:dyDescent="0.2">
      <c r="A722" s="121"/>
      <c r="D722" s="117"/>
      <c r="E722" s="117"/>
      <c r="I722" s="118"/>
      <c r="J722" s="13"/>
      <c r="K722" s="270"/>
      <c r="L722" s="57"/>
      <c r="M722" s="119"/>
      <c r="N722" s="57"/>
      <c r="O722" s="57"/>
      <c r="P722" s="57"/>
      <c r="Q722" s="57"/>
      <c r="R722" s="57"/>
      <c r="S722" s="119"/>
      <c r="T722" s="57"/>
      <c r="AD722" s="122"/>
    </row>
    <row r="723" spans="1:30" ht="12.75" hidden="1" customHeight="1" x14ac:dyDescent="0.2">
      <c r="A723" s="121"/>
      <c r="D723" s="117"/>
      <c r="E723" s="117"/>
      <c r="I723" s="118"/>
      <c r="J723" s="13"/>
      <c r="K723" s="270"/>
      <c r="L723" s="57"/>
      <c r="M723" s="119"/>
      <c r="N723" s="57"/>
      <c r="O723" s="57"/>
      <c r="P723" s="57"/>
      <c r="Q723" s="57"/>
      <c r="R723" s="57"/>
      <c r="S723" s="119"/>
      <c r="T723" s="57"/>
      <c r="AD723" s="122"/>
    </row>
    <row r="724" spans="1:30" ht="12.75" hidden="1" customHeight="1" x14ac:dyDescent="0.2">
      <c r="A724" s="121"/>
      <c r="D724" s="117"/>
      <c r="E724" s="117"/>
      <c r="I724" s="118"/>
      <c r="J724" s="13"/>
      <c r="K724" s="270"/>
      <c r="L724" s="57"/>
      <c r="M724" s="119"/>
      <c r="N724" s="57"/>
      <c r="O724" s="57"/>
      <c r="P724" s="57"/>
      <c r="Q724" s="57"/>
      <c r="R724" s="57"/>
      <c r="S724" s="119"/>
      <c r="T724" s="57"/>
      <c r="AD724" s="122"/>
    </row>
    <row r="725" spans="1:30" ht="12.75" hidden="1" customHeight="1" x14ac:dyDescent="0.2">
      <c r="A725" s="121"/>
      <c r="D725" s="117"/>
      <c r="E725" s="117"/>
      <c r="I725" s="118"/>
      <c r="J725" s="13"/>
      <c r="K725" s="270"/>
      <c r="L725" s="57"/>
      <c r="M725" s="119"/>
      <c r="N725" s="57"/>
      <c r="O725" s="57"/>
      <c r="P725" s="57"/>
      <c r="Q725" s="57"/>
      <c r="R725" s="57"/>
      <c r="S725" s="119"/>
      <c r="T725" s="57"/>
      <c r="AD725" s="122"/>
    </row>
    <row r="726" spans="1:30" ht="12.75" hidden="1" customHeight="1" x14ac:dyDescent="0.2">
      <c r="A726" s="121"/>
      <c r="D726" s="117"/>
      <c r="E726" s="117"/>
      <c r="I726" s="118"/>
      <c r="J726" s="13"/>
      <c r="K726" s="270"/>
      <c r="L726" s="57"/>
      <c r="M726" s="119"/>
      <c r="N726" s="57"/>
      <c r="O726" s="57"/>
      <c r="P726" s="57"/>
      <c r="Q726" s="57"/>
      <c r="R726" s="57"/>
      <c r="S726" s="119"/>
      <c r="T726" s="57"/>
      <c r="AD726" s="122"/>
    </row>
    <row r="727" spans="1:30" ht="12.75" hidden="1" customHeight="1" x14ac:dyDescent="0.2">
      <c r="A727" s="121"/>
      <c r="D727" s="117"/>
      <c r="E727" s="117"/>
      <c r="I727" s="118"/>
      <c r="J727" s="13"/>
      <c r="K727" s="270"/>
      <c r="L727" s="57"/>
      <c r="M727" s="119"/>
      <c r="N727" s="57"/>
      <c r="O727" s="57"/>
      <c r="P727" s="57"/>
      <c r="Q727" s="57"/>
      <c r="R727" s="57"/>
      <c r="S727" s="119"/>
      <c r="T727" s="57"/>
      <c r="AD727" s="122"/>
    </row>
    <row r="728" spans="1:30" ht="12.75" hidden="1" customHeight="1" x14ac:dyDescent="0.2">
      <c r="A728" s="121"/>
      <c r="D728" s="117"/>
      <c r="E728" s="117"/>
      <c r="I728" s="118"/>
      <c r="J728" s="13"/>
      <c r="K728" s="270"/>
      <c r="L728" s="57"/>
      <c r="M728" s="119"/>
      <c r="N728" s="57"/>
      <c r="O728" s="57"/>
      <c r="P728" s="57"/>
      <c r="Q728" s="57"/>
      <c r="R728" s="57"/>
      <c r="S728" s="119"/>
      <c r="T728" s="57"/>
      <c r="AD728" s="122"/>
    </row>
    <row r="729" spans="1:30" ht="12.75" hidden="1" customHeight="1" x14ac:dyDescent="0.2">
      <c r="A729" s="121"/>
      <c r="D729" s="117"/>
      <c r="E729" s="117"/>
      <c r="I729" s="118"/>
      <c r="J729" s="13"/>
      <c r="K729" s="270"/>
      <c r="L729" s="57"/>
      <c r="M729" s="119"/>
      <c r="N729" s="57"/>
      <c r="O729" s="57"/>
      <c r="P729" s="57"/>
      <c r="Q729" s="57"/>
      <c r="R729" s="57"/>
      <c r="S729" s="119"/>
      <c r="T729" s="57"/>
      <c r="AD729" s="122"/>
    </row>
    <row r="730" spans="1:30" ht="12.75" hidden="1" customHeight="1" x14ac:dyDescent="0.2">
      <c r="A730" s="121"/>
      <c r="D730" s="117"/>
      <c r="E730" s="117"/>
      <c r="I730" s="118"/>
      <c r="J730" s="13"/>
      <c r="K730" s="270"/>
      <c r="L730" s="57"/>
      <c r="M730" s="119"/>
      <c r="N730" s="57"/>
      <c r="O730" s="57"/>
      <c r="P730" s="57"/>
      <c r="Q730" s="57"/>
      <c r="R730" s="57"/>
      <c r="S730" s="119"/>
      <c r="T730" s="57"/>
      <c r="AD730" s="122"/>
    </row>
    <row r="731" spans="1:30" ht="12.75" hidden="1" customHeight="1" x14ac:dyDescent="0.2">
      <c r="A731" s="121"/>
      <c r="D731" s="117"/>
      <c r="E731" s="117"/>
      <c r="I731" s="118"/>
      <c r="J731" s="13"/>
      <c r="K731" s="270"/>
      <c r="L731" s="57"/>
      <c r="M731" s="119"/>
      <c r="N731" s="57"/>
      <c r="O731" s="57"/>
      <c r="P731" s="57"/>
      <c r="Q731" s="57"/>
      <c r="R731" s="57"/>
      <c r="S731" s="119"/>
      <c r="T731" s="57"/>
      <c r="AD731" s="122"/>
    </row>
    <row r="732" spans="1:30" ht="12.75" hidden="1" customHeight="1" x14ac:dyDescent="0.2">
      <c r="A732" s="121"/>
      <c r="D732" s="117"/>
      <c r="E732" s="117"/>
      <c r="I732" s="118"/>
      <c r="J732" s="13"/>
      <c r="K732" s="270"/>
      <c r="L732" s="57"/>
      <c r="M732" s="119"/>
      <c r="N732" s="57"/>
      <c r="O732" s="57"/>
      <c r="P732" s="57"/>
      <c r="Q732" s="57"/>
      <c r="R732" s="57"/>
      <c r="S732" s="119"/>
      <c r="T732" s="57"/>
      <c r="AD732" s="122"/>
    </row>
    <row r="733" spans="1:30" ht="12.75" hidden="1" customHeight="1" x14ac:dyDescent="0.2">
      <c r="A733" s="121"/>
      <c r="D733" s="117"/>
      <c r="E733" s="117"/>
      <c r="I733" s="118"/>
      <c r="J733" s="13"/>
      <c r="K733" s="270"/>
      <c r="L733" s="57"/>
      <c r="M733" s="119"/>
      <c r="N733" s="57"/>
      <c r="O733" s="57"/>
      <c r="P733" s="57"/>
      <c r="Q733" s="57"/>
      <c r="R733" s="57"/>
      <c r="S733" s="119"/>
      <c r="T733" s="57"/>
      <c r="AD733" s="122"/>
    </row>
    <row r="734" spans="1:30" ht="12.75" hidden="1" customHeight="1" x14ac:dyDescent="0.2">
      <c r="A734" s="121"/>
      <c r="D734" s="117"/>
      <c r="E734" s="117"/>
      <c r="I734" s="118"/>
      <c r="J734" s="13"/>
      <c r="K734" s="270"/>
      <c r="L734" s="57"/>
      <c r="M734" s="119"/>
      <c r="N734" s="57"/>
      <c r="O734" s="57"/>
      <c r="P734" s="57"/>
      <c r="Q734" s="57"/>
      <c r="R734" s="57"/>
      <c r="S734" s="119"/>
      <c r="T734" s="57"/>
      <c r="AD734" s="122"/>
    </row>
    <row r="735" spans="1:30" ht="12.75" hidden="1" customHeight="1" x14ac:dyDescent="0.2">
      <c r="A735" s="121"/>
      <c r="D735" s="117"/>
      <c r="E735" s="117"/>
      <c r="I735" s="118"/>
      <c r="J735" s="13"/>
      <c r="K735" s="270"/>
      <c r="L735" s="57"/>
      <c r="M735" s="119"/>
      <c r="N735" s="57"/>
      <c r="O735" s="57"/>
      <c r="P735" s="57"/>
      <c r="Q735" s="57"/>
      <c r="R735" s="57"/>
      <c r="S735" s="119"/>
      <c r="T735" s="57"/>
      <c r="AD735" s="122"/>
    </row>
    <row r="736" spans="1:30" ht="12.75" hidden="1" customHeight="1" x14ac:dyDescent="0.2">
      <c r="A736" s="121"/>
      <c r="D736" s="117"/>
      <c r="E736" s="117"/>
      <c r="I736" s="118"/>
      <c r="J736" s="13"/>
      <c r="K736" s="270"/>
      <c r="L736" s="57"/>
      <c r="M736" s="119"/>
      <c r="N736" s="57"/>
      <c r="O736" s="57"/>
      <c r="P736" s="57"/>
      <c r="Q736" s="57"/>
      <c r="R736" s="57"/>
      <c r="S736" s="119"/>
      <c r="T736" s="57"/>
      <c r="AD736" s="122"/>
    </row>
    <row r="737" spans="1:30" ht="12.75" hidden="1" customHeight="1" x14ac:dyDescent="0.2">
      <c r="A737" s="121"/>
      <c r="D737" s="117"/>
      <c r="E737" s="117"/>
      <c r="I737" s="118"/>
      <c r="J737" s="13"/>
      <c r="K737" s="270"/>
      <c r="L737" s="57"/>
      <c r="M737" s="119"/>
      <c r="N737" s="57"/>
      <c r="O737" s="57"/>
      <c r="P737" s="57"/>
      <c r="Q737" s="57"/>
      <c r="R737" s="57"/>
      <c r="S737" s="119"/>
      <c r="T737" s="57"/>
      <c r="AD737" s="122"/>
    </row>
    <row r="738" spans="1:30" ht="12.75" hidden="1" customHeight="1" x14ac:dyDescent="0.2">
      <c r="A738" s="121"/>
      <c r="D738" s="117"/>
      <c r="E738" s="117"/>
      <c r="I738" s="118"/>
      <c r="J738" s="13"/>
      <c r="K738" s="270"/>
      <c r="L738" s="57"/>
      <c r="M738" s="119"/>
      <c r="N738" s="57"/>
      <c r="O738" s="57"/>
      <c r="P738" s="57"/>
      <c r="Q738" s="57"/>
      <c r="R738" s="57"/>
      <c r="S738" s="119"/>
      <c r="T738" s="57"/>
      <c r="AD738" s="122"/>
    </row>
    <row r="739" spans="1:30" ht="12.75" hidden="1" customHeight="1" x14ac:dyDescent="0.2">
      <c r="A739" s="121"/>
      <c r="D739" s="117"/>
      <c r="E739" s="117"/>
      <c r="I739" s="118"/>
      <c r="J739" s="13"/>
      <c r="K739" s="270"/>
      <c r="L739" s="57"/>
      <c r="M739" s="119"/>
      <c r="N739" s="57"/>
      <c r="O739" s="57"/>
      <c r="P739" s="57"/>
      <c r="Q739" s="57"/>
      <c r="R739" s="57"/>
      <c r="S739" s="119"/>
      <c r="T739" s="57"/>
      <c r="AD739" s="122"/>
    </row>
    <row r="740" spans="1:30" ht="12.75" hidden="1" customHeight="1" x14ac:dyDescent="0.2">
      <c r="A740" s="121"/>
      <c r="D740" s="117"/>
      <c r="E740" s="117"/>
      <c r="I740" s="118"/>
      <c r="J740" s="13"/>
      <c r="K740" s="270"/>
      <c r="L740" s="57"/>
      <c r="M740" s="119"/>
      <c r="N740" s="57"/>
      <c r="O740" s="57"/>
      <c r="P740" s="57"/>
      <c r="Q740" s="57"/>
      <c r="R740" s="57"/>
      <c r="S740" s="119"/>
      <c r="T740" s="57"/>
      <c r="AD740" s="122"/>
    </row>
    <row r="741" spans="1:30" ht="12.75" hidden="1" customHeight="1" x14ac:dyDescent="0.2">
      <c r="A741" s="121"/>
      <c r="D741" s="117"/>
      <c r="E741" s="117"/>
      <c r="I741" s="118"/>
      <c r="J741" s="13"/>
      <c r="K741" s="270"/>
      <c r="L741" s="57"/>
      <c r="M741" s="119"/>
      <c r="N741" s="57"/>
      <c r="O741" s="57"/>
      <c r="P741" s="57"/>
      <c r="Q741" s="57"/>
      <c r="R741" s="57"/>
      <c r="S741" s="119"/>
      <c r="T741" s="57"/>
      <c r="AD741" s="122"/>
    </row>
    <row r="742" spans="1:30" ht="12.75" hidden="1" customHeight="1" x14ac:dyDescent="0.2">
      <c r="A742" s="121"/>
      <c r="D742" s="117"/>
      <c r="E742" s="117"/>
      <c r="I742" s="118"/>
      <c r="J742" s="13"/>
      <c r="K742" s="270"/>
      <c r="L742" s="57"/>
      <c r="M742" s="119"/>
      <c r="N742" s="57"/>
      <c r="O742" s="57"/>
      <c r="P742" s="57"/>
      <c r="Q742" s="57"/>
      <c r="R742" s="57"/>
      <c r="S742" s="119"/>
      <c r="T742" s="57"/>
      <c r="AD742" s="122"/>
    </row>
    <row r="743" spans="1:30" ht="12.75" hidden="1" customHeight="1" x14ac:dyDescent="0.2">
      <c r="A743" s="121"/>
      <c r="D743" s="117"/>
      <c r="E743" s="117"/>
      <c r="I743" s="118"/>
      <c r="J743" s="13"/>
      <c r="K743" s="270"/>
      <c r="L743" s="57"/>
      <c r="M743" s="119"/>
      <c r="N743" s="57"/>
      <c r="O743" s="57"/>
      <c r="P743" s="57"/>
      <c r="Q743" s="57"/>
      <c r="R743" s="57"/>
      <c r="S743" s="119"/>
      <c r="T743" s="57"/>
      <c r="AD743" s="122"/>
    </row>
    <row r="744" spans="1:30" ht="12.75" hidden="1" customHeight="1" x14ac:dyDescent="0.2">
      <c r="A744" s="121"/>
      <c r="D744" s="117"/>
      <c r="E744" s="117"/>
      <c r="I744" s="118"/>
      <c r="J744" s="13"/>
      <c r="K744" s="270"/>
      <c r="L744" s="57"/>
      <c r="M744" s="119"/>
      <c r="N744" s="57"/>
      <c r="O744" s="57"/>
      <c r="P744" s="57"/>
      <c r="Q744" s="57"/>
      <c r="R744" s="57"/>
      <c r="S744" s="119"/>
      <c r="T744" s="57"/>
      <c r="AD744" s="122"/>
    </row>
    <row r="745" spans="1:30" ht="12.75" hidden="1" customHeight="1" x14ac:dyDescent="0.2">
      <c r="A745" s="121"/>
      <c r="D745" s="117"/>
      <c r="E745" s="117"/>
      <c r="I745" s="118"/>
      <c r="J745" s="13"/>
      <c r="K745" s="270"/>
      <c r="L745" s="57"/>
      <c r="M745" s="119"/>
      <c r="N745" s="57"/>
      <c r="O745" s="57"/>
      <c r="P745" s="57"/>
      <c r="Q745" s="57"/>
      <c r="R745" s="57"/>
      <c r="S745" s="119"/>
      <c r="T745" s="57"/>
      <c r="AD745" s="122"/>
    </row>
    <row r="746" spans="1:30" ht="12.75" hidden="1" customHeight="1" x14ac:dyDescent="0.2">
      <c r="A746" s="121"/>
      <c r="D746" s="117"/>
      <c r="E746" s="117"/>
      <c r="I746" s="118"/>
      <c r="J746" s="13"/>
      <c r="K746" s="270"/>
      <c r="L746" s="57"/>
      <c r="M746" s="119"/>
      <c r="N746" s="57"/>
      <c r="O746" s="57"/>
      <c r="P746" s="57"/>
      <c r="Q746" s="57"/>
      <c r="R746" s="57"/>
      <c r="S746" s="119"/>
      <c r="T746" s="57"/>
      <c r="AD746" s="122"/>
    </row>
    <row r="747" spans="1:30" ht="12.75" hidden="1" customHeight="1" x14ac:dyDescent="0.2">
      <c r="A747" s="121"/>
      <c r="D747" s="117"/>
      <c r="E747" s="117"/>
      <c r="I747" s="118"/>
      <c r="J747" s="13"/>
      <c r="K747" s="270"/>
      <c r="L747" s="57"/>
      <c r="M747" s="119"/>
      <c r="N747" s="57"/>
      <c r="O747" s="57"/>
      <c r="P747" s="57"/>
      <c r="Q747" s="57"/>
      <c r="R747" s="57"/>
      <c r="S747" s="119"/>
      <c r="T747" s="57"/>
      <c r="AD747" s="122"/>
    </row>
    <row r="748" spans="1:30" ht="12.75" hidden="1" customHeight="1" x14ac:dyDescent="0.2">
      <c r="A748" s="121"/>
      <c r="D748" s="117"/>
      <c r="E748" s="117"/>
      <c r="I748" s="118"/>
      <c r="J748" s="13"/>
      <c r="K748" s="270"/>
      <c r="L748" s="57"/>
      <c r="M748" s="119"/>
      <c r="N748" s="57"/>
      <c r="O748" s="57"/>
      <c r="P748" s="57"/>
      <c r="Q748" s="57"/>
      <c r="R748" s="57"/>
      <c r="S748" s="119"/>
      <c r="T748" s="57"/>
      <c r="AD748" s="122"/>
    </row>
    <row r="749" spans="1:30" ht="12.75" hidden="1" customHeight="1" x14ac:dyDescent="0.2">
      <c r="A749" s="121"/>
      <c r="D749" s="117"/>
      <c r="E749" s="117"/>
      <c r="I749" s="118"/>
      <c r="J749" s="13"/>
      <c r="K749" s="270"/>
      <c r="L749" s="57"/>
      <c r="M749" s="119"/>
      <c r="N749" s="57"/>
      <c r="O749" s="57"/>
      <c r="P749" s="57"/>
      <c r="Q749" s="57"/>
      <c r="R749" s="57"/>
      <c r="S749" s="119"/>
      <c r="T749" s="57"/>
      <c r="AD749" s="122"/>
    </row>
    <row r="750" spans="1:30" ht="12.75" hidden="1" customHeight="1" x14ac:dyDescent="0.2">
      <c r="A750" s="121"/>
      <c r="D750" s="117"/>
      <c r="E750" s="117"/>
      <c r="I750" s="118"/>
      <c r="J750" s="13"/>
      <c r="K750" s="270"/>
      <c r="L750" s="57"/>
      <c r="M750" s="119"/>
      <c r="N750" s="57"/>
      <c r="O750" s="57"/>
      <c r="P750" s="57"/>
      <c r="Q750" s="57"/>
      <c r="R750" s="57"/>
      <c r="S750" s="119"/>
      <c r="T750" s="57"/>
      <c r="AD750" s="122"/>
    </row>
    <row r="751" spans="1:30" ht="12.75" hidden="1" customHeight="1" x14ac:dyDescent="0.2">
      <c r="A751" s="121"/>
      <c r="D751" s="117"/>
      <c r="E751" s="117"/>
      <c r="I751" s="118"/>
      <c r="J751" s="13"/>
      <c r="K751" s="270"/>
      <c r="L751" s="57"/>
      <c r="M751" s="119"/>
      <c r="N751" s="57"/>
      <c r="O751" s="57"/>
      <c r="P751" s="57"/>
      <c r="Q751" s="57"/>
      <c r="R751" s="57"/>
      <c r="S751" s="119"/>
      <c r="T751" s="57"/>
      <c r="AD751" s="122"/>
    </row>
    <row r="752" spans="1:30" ht="12.75" hidden="1" customHeight="1" x14ac:dyDescent="0.2">
      <c r="A752" s="121"/>
      <c r="D752" s="117"/>
      <c r="E752" s="117"/>
      <c r="I752" s="118"/>
      <c r="J752" s="13"/>
      <c r="K752" s="270"/>
      <c r="L752" s="57"/>
      <c r="M752" s="119"/>
      <c r="N752" s="57"/>
      <c r="O752" s="57"/>
      <c r="P752" s="57"/>
      <c r="Q752" s="57"/>
      <c r="R752" s="57"/>
      <c r="S752" s="119"/>
      <c r="T752" s="57"/>
      <c r="AD752" s="122"/>
    </row>
    <row r="753" spans="1:30" ht="12.75" hidden="1" customHeight="1" x14ac:dyDescent="0.2">
      <c r="A753" s="121"/>
      <c r="D753" s="117"/>
      <c r="E753" s="117"/>
      <c r="I753" s="118"/>
      <c r="J753" s="13"/>
      <c r="K753" s="270"/>
      <c r="L753" s="57"/>
      <c r="M753" s="119"/>
      <c r="N753" s="57"/>
      <c r="O753" s="57"/>
      <c r="P753" s="57"/>
      <c r="Q753" s="57"/>
      <c r="R753" s="57"/>
      <c r="S753" s="119"/>
      <c r="T753" s="57"/>
      <c r="AD753" s="122"/>
    </row>
    <row r="754" spans="1:30" ht="12.75" hidden="1" customHeight="1" x14ac:dyDescent="0.2">
      <c r="A754" s="121"/>
      <c r="D754" s="117"/>
      <c r="E754" s="117"/>
      <c r="I754" s="118"/>
      <c r="J754" s="13"/>
      <c r="K754" s="270"/>
      <c r="L754" s="57"/>
      <c r="M754" s="119"/>
      <c r="N754" s="57"/>
      <c r="O754" s="57"/>
      <c r="P754" s="57"/>
      <c r="Q754" s="57"/>
      <c r="R754" s="57"/>
      <c r="S754" s="119"/>
      <c r="T754" s="57"/>
      <c r="AD754" s="122"/>
    </row>
    <row r="755" spans="1:30" ht="12.75" hidden="1" customHeight="1" x14ac:dyDescent="0.2">
      <c r="A755" s="121"/>
      <c r="D755" s="117"/>
      <c r="E755" s="117"/>
      <c r="I755" s="118"/>
      <c r="J755" s="13"/>
      <c r="K755" s="270"/>
      <c r="L755" s="57"/>
      <c r="M755" s="119"/>
      <c r="N755" s="57"/>
      <c r="O755" s="57"/>
      <c r="P755" s="57"/>
      <c r="Q755" s="57"/>
      <c r="R755" s="57"/>
      <c r="S755" s="119"/>
      <c r="T755" s="57"/>
      <c r="AD755" s="122"/>
    </row>
    <row r="756" spans="1:30" ht="12.75" hidden="1" customHeight="1" x14ac:dyDescent="0.2">
      <c r="A756" s="121"/>
      <c r="D756" s="117"/>
      <c r="E756" s="117"/>
      <c r="I756" s="118"/>
      <c r="J756" s="13"/>
      <c r="K756" s="270"/>
      <c r="L756" s="57"/>
      <c r="M756" s="119"/>
      <c r="N756" s="57"/>
      <c r="O756" s="57"/>
      <c r="P756" s="57"/>
      <c r="Q756" s="57"/>
      <c r="R756" s="57"/>
      <c r="S756" s="119"/>
      <c r="T756" s="57"/>
      <c r="AD756" s="122"/>
    </row>
    <row r="757" spans="1:30" ht="12.75" hidden="1" customHeight="1" x14ac:dyDescent="0.2">
      <c r="A757" s="121"/>
      <c r="D757" s="117"/>
      <c r="E757" s="117"/>
      <c r="I757" s="118"/>
      <c r="J757" s="13"/>
      <c r="K757" s="270"/>
      <c r="L757" s="57"/>
      <c r="M757" s="119"/>
      <c r="N757" s="57"/>
      <c r="O757" s="57"/>
      <c r="P757" s="57"/>
      <c r="Q757" s="57"/>
      <c r="R757" s="57"/>
      <c r="S757" s="119"/>
      <c r="T757" s="57"/>
      <c r="AD757" s="122"/>
    </row>
    <row r="758" spans="1:30" ht="12.75" hidden="1" customHeight="1" x14ac:dyDescent="0.2">
      <c r="A758" s="121"/>
      <c r="D758" s="117"/>
      <c r="E758" s="117"/>
      <c r="I758" s="118"/>
      <c r="J758" s="13"/>
      <c r="K758" s="270"/>
      <c r="L758" s="57"/>
      <c r="M758" s="119"/>
      <c r="N758" s="57"/>
      <c r="O758" s="57"/>
      <c r="P758" s="57"/>
      <c r="Q758" s="57"/>
      <c r="R758" s="57"/>
      <c r="S758" s="119"/>
      <c r="T758" s="57"/>
      <c r="AD758" s="122"/>
    </row>
    <row r="759" spans="1:30" ht="12.75" hidden="1" customHeight="1" x14ac:dyDescent="0.2">
      <c r="A759" s="121"/>
      <c r="D759" s="117"/>
      <c r="E759" s="117"/>
      <c r="I759" s="118"/>
      <c r="J759" s="13"/>
      <c r="K759" s="270"/>
      <c r="L759" s="57"/>
      <c r="M759" s="119"/>
      <c r="N759" s="57"/>
      <c r="O759" s="57"/>
      <c r="P759" s="57"/>
      <c r="Q759" s="57"/>
      <c r="R759" s="57"/>
      <c r="S759" s="119"/>
      <c r="T759" s="57"/>
      <c r="AD759" s="122"/>
    </row>
    <row r="760" spans="1:30" ht="12.75" hidden="1" customHeight="1" x14ac:dyDescent="0.2">
      <c r="A760" s="121"/>
      <c r="D760" s="117"/>
      <c r="E760" s="117"/>
      <c r="I760" s="118"/>
      <c r="J760" s="13"/>
      <c r="K760" s="270"/>
      <c r="L760" s="57"/>
      <c r="M760" s="119"/>
      <c r="N760" s="57"/>
      <c r="O760" s="57"/>
      <c r="P760" s="57"/>
      <c r="Q760" s="57"/>
      <c r="R760" s="57"/>
      <c r="S760" s="119"/>
      <c r="T760" s="57"/>
      <c r="AD760" s="122"/>
    </row>
    <row r="761" spans="1:30" ht="12.75" hidden="1" customHeight="1" x14ac:dyDescent="0.2">
      <c r="A761" s="121"/>
      <c r="D761" s="117"/>
      <c r="E761" s="117"/>
      <c r="I761" s="118"/>
      <c r="J761" s="13"/>
      <c r="K761" s="270"/>
      <c r="L761" s="57"/>
      <c r="M761" s="119"/>
      <c r="N761" s="57"/>
      <c r="O761" s="57"/>
      <c r="P761" s="57"/>
      <c r="Q761" s="57"/>
      <c r="R761" s="57"/>
      <c r="S761" s="119"/>
      <c r="T761" s="57"/>
      <c r="AD761" s="122"/>
    </row>
    <row r="762" spans="1:30" ht="12.75" hidden="1" customHeight="1" x14ac:dyDescent="0.2">
      <c r="A762" s="121"/>
      <c r="D762" s="117"/>
      <c r="E762" s="117"/>
      <c r="I762" s="118"/>
      <c r="J762" s="13"/>
      <c r="K762" s="270"/>
      <c r="L762" s="57"/>
      <c r="M762" s="119"/>
      <c r="N762" s="57"/>
      <c r="O762" s="57"/>
      <c r="P762" s="57"/>
      <c r="Q762" s="57"/>
      <c r="R762" s="57"/>
      <c r="S762" s="119"/>
      <c r="T762" s="57"/>
      <c r="AD762" s="122"/>
    </row>
    <row r="763" spans="1:30" ht="12.75" hidden="1" customHeight="1" x14ac:dyDescent="0.2">
      <c r="A763" s="121"/>
      <c r="D763" s="117"/>
      <c r="E763" s="117"/>
      <c r="I763" s="118"/>
      <c r="J763" s="13"/>
      <c r="K763" s="270"/>
      <c r="L763" s="57"/>
      <c r="M763" s="119"/>
      <c r="N763" s="57"/>
      <c r="O763" s="57"/>
      <c r="P763" s="57"/>
      <c r="Q763" s="57"/>
      <c r="R763" s="57"/>
      <c r="S763" s="119"/>
      <c r="T763" s="57"/>
      <c r="AD763" s="122"/>
    </row>
    <row r="764" spans="1:30" ht="12.75" hidden="1" customHeight="1" x14ac:dyDescent="0.2">
      <c r="A764" s="121"/>
      <c r="D764" s="117"/>
      <c r="E764" s="117"/>
      <c r="I764" s="118"/>
      <c r="J764" s="13"/>
      <c r="K764" s="270"/>
      <c r="L764" s="57"/>
      <c r="M764" s="119"/>
      <c r="N764" s="57"/>
      <c r="O764" s="57"/>
      <c r="P764" s="57"/>
      <c r="Q764" s="57"/>
      <c r="R764" s="57"/>
      <c r="S764" s="119"/>
      <c r="T764" s="57"/>
      <c r="AD764" s="122"/>
    </row>
    <row r="765" spans="1:30" ht="12.75" hidden="1" customHeight="1" x14ac:dyDescent="0.2">
      <c r="A765" s="121"/>
      <c r="D765" s="117"/>
      <c r="E765" s="117"/>
      <c r="I765" s="118"/>
      <c r="J765" s="13"/>
      <c r="K765" s="270"/>
      <c r="L765" s="57"/>
      <c r="M765" s="119"/>
      <c r="N765" s="57"/>
      <c r="O765" s="57"/>
      <c r="P765" s="57"/>
      <c r="Q765" s="57"/>
      <c r="R765" s="57"/>
      <c r="S765" s="119"/>
      <c r="T765" s="57"/>
      <c r="AD765" s="122"/>
    </row>
    <row r="766" spans="1:30" ht="12.75" hidden="1" customHeight="1" x14ac:dyDescent="0.2">
      <c r="A766" s="121"/>
      <c r="D766" s="117"/>
      <c r="E766" s="117"/>
      <c r="I766" s="118"/>
      <c r="J766" s="13"/>
      <c r="K766" s="270"/>
      <c r="L766" s="57"/>
      <c r="M766" s="119"/>
      <c r="N766" s="57"/>
      <c r="O766" s="57"/>
      <c r="P766" s="57"/>
      <c r="Q766" s="57"/>
      <c r="R766" s="57"/>
      <c r="S766" s="119"/>
      <c r="T766" s="57"/>
      <c r="AD766" s="122"/>
    </row>
    <row r="767" spans="1:30" ht="12.75" hidden="1" customHeight="1" x14ac:dyDescent="0.2">
      <c r="A767" s="121"/>
      <c r="D767" s="117"/>
      <c r="E767" s="117"/>
      <c r="I767" s="118"/>
      <c r="J767" s="13"/>
      <c r="K767" s="270"/>
      <c r="L767" s="57"/>
      <c r="M767" s="119"/>
      <c r="N767" s="57"/>
      <c r="O767" s="57"/>
      <c r="P767" s="57"/>
      <c r="Q767" s="57"/>
      <c r="R767" s="57"/>
      <c r="S767" s="119"/>
      <c r="T767" s="57"/>
      <c r="AD767" s="122"/>
    </row>
    <row r="768" spans="1:30" ht="12.75" hidden="1" customHeight="1" x14ac:dyDescent="0.2">
      <c r="A768" s="121"/>
      <c r="D768" s="117"/>
      <c r="E768" s="117"/>
      <c r="I768" s="118"/>
      <c r="J768" s="13"/>
      <c r="K768" s="270"/>
      <c r="L768" s="57"/>
      <c r="M768" s="119"/>
      <c r="N768" s="57"/>
      <c r="O768" s="57"/>
      <c r="P768" s="57"/>
      <c r="Q768" s="57"/>
      <c r="R768" s="57"/>
      <c r="S768" s="119"/>
      <c r="T768" s="57"/>
      <c r="AD768" s="122"/>
    </row>
    <row r="769" spans="1:30" ht="12.75" hidden="1" customHeight="1" x14ac:dyDescent="0.2">
      <c r="A769" s="121"/>
      <c r="D769" s="117"/>
      <c r="E769" s="117"/>
      <c r="I769" s="118"/>
      <c r="J769" s="13"/>
      <c r="K769" s="270"/>
      <c r="L769" s="57"/>
      <c r="M769" s="119"/>
      <c r="N769" s="57"/>
      <c r="O769" s="57"/>
      <c r="P769" s="57"/>
      <c r="Q769" s="57"/>
      <c r="R769" s="57"/>
      <c r="S769" s="119"/>
      <c r="T769" s="57"/>
      <c r="AD769" s="122"/>
    </row>
    <row r="770" spans="1:30" ht="12.75" hidden="1" customHeight="1" x14ac:dyDescent="0.2">
      <c r="A770" s="121"/>
      <c r="D770" s="117"/>
      <c r="E770" s="117"/>
      <c r="I770" s="118"/>
      <c r="J770" s="13"/>
      <c r="K770" s="270"/>
      <c r="L770" s="57"/>
      <c r="M770" s="119"/>
      <c r="N770" s="57"/>
      <c r="O770" s="57"/>
      <c r="P770" s="57"/>
      <c r="Q770" s="57"/>
      <c r="R770" s="57"/>
      <c r="S770" s="119"/>
      <c r="T770" s="57"/>
      <c r="AD770" s="122"/>
    </row>
    <row r="771" spans="1:30" ht="12.75" hidden="1" customHeight="1" x14ac:dyDescent="0.2">
      <c r="A771" s="121"/>
      <c r="D771" s="117"/>
      <c r="E771" s="117"/>
      <c r="I771" s="118"/>
      <c r="J771" s="13"/>
      <c r="K771" s="270"/>
      <c r="L771" s="57"/>
      <c r="M771" s="119"/>
      <c r="N771" s="57"/>
      <c r="O771" s="57"/>
      <c r="P771" s="57"/>
      <c r="Q771" s="57"/>
      <c r="R771" s="57"/>
      <c r="S771" s="119"/>
      <c r="T771" s="57"/>
      <c r="AD771" s="122"/>
    </row>
    <row r="772" spans="1:30" ht="12.75" hidden="1" customHeight="1" x14ac:dyDescent="0.2">
      <c r="A772" s="121"/>
      <c r="D772" s="117"/>
      <c r="E772" s="117"/>
      <c r="I772" s="118"/>
      <c r="J772" s="13"/>
      <c r="K772" s="270"/>
      <c r="L772" s="57"/>
      <c r="M772" s="119"/>
      <c r="N772" s="57"/>
      <c r="O772" s="57"/>
      <c r="P772" s="57"/>
      <c r="Q772" s="57"/>
      <c r="R772" s="57"/>
      <c r="S772" s="119"/>
      <c r="T772" s="57"/>
      <c r="AD772" s="122"/>
    </row>
    <row r="773" spans="1:30" ht="12.75" hidden="1" customHeight="1" x14ac:dyDescent="0.2">
      <c r="A773" s="121"/>
      <c r="D773" s="117"/>
      <c r="E773" s="117"/>
      <c r="I773" s="118"/>
      <c r="J773" s="13"/>
      <c r="K773" s="270"/>
      <c r="L773" s="57"/>
      <c r="M773" s="119"/>
      <c r="N773" s="57"/>
      <c r="O773" s="57"/>
      <c r="P773" s="57"/>
      <c r="Q773" s="57"/>
      <c r="R773" s="57"/>
      <c r="S773" s="119"/>
      <c r="T773" s="57"/>
      <c r="AD773" s="122"/>
    </row>
    <row r="774" spans="1:30" ht="12.75" hidden="1" customHeight="1" x14ac:dyDescent="0.2">
      <c r="A774" s="121"/>
      <c r="D774" s="117"/>
      <c r="E774" s="117"/>
      <c r="I774" s="118"/>
      <c r="J774" s="13"/>
      <c r="K774" s="270"/>
      <c r="L774" s="57"/>
      <c r="M774" s="119"/>
      <c r="N774" s="57"/>
      <c r="O774" s="57"/>
      <c r="P774" s="57"/>
      <c r="Q774" s="57"/>
      <c r="R774" s="57"/>
      <c r="S774" s="119"/>
      <c r="T774" s="57"/>
      <c r="AD774" s="122"/>
    </row>
    <row r="775" spans="1:30" ht="12.75" hidden="1" customHeight="1" x14ac:dyDescent="0.2">
      <c r="A775" s="121"/>
      <c r="D775" s="117"/>
      <c r="E775" s="117"/>
      <c r="I775" s="118"/>
      <c r="J775" s="13"/>
      <c r="K775" s="270"/>
      <c r="L775" s="57"/>
      <c r="M775" s="119"/>
      <c r="N775" s="57"/>
      <c r="O775" s="57"/>
      <c r="P775" s="57"/>
      <c r="Q775" s="57"/>
      <c r="R775" s="57"/>
      <c r="S775" s="119"/>
      <c r="T775" s="57"/>
      <c r="AD775" s="122"/>
    </row>
    <row r="776" spans="1:30" ht="12.75" hidden="1" customHeight="1" x14ac:dyDescent="0.2">
      <c r="A776" s="121"/>
      <c r="D776" s="117"/>
      <c r="E776" s="117"/>
      <c r="I776" s="118"/>
      <c r="J776" s="13"/>
      <c r="K776" s="270"/>
      <c r="L776" s="57"/>
      <c r="M776" s="119"/>
      <c r="N776" s="57"/>
      <c r="O776" s="57"/>
      <c r="P776" s="57"/>
      <c r="Q776" s="57"/>
      <c r="R776" s="57"/>
      <c r="S776" s="119"/>
      <c r="T776" s="57"/>
      <c r="AD776" s="122"/>
    </row>
    <row r="777" spans="1:30" ht="12.75" hidden="1" customHeight="1" x14ac:dyDescent="0.2">
      <c r="A777" s="121"/>
      <c r="D777" s="117"/>
      <c r="E777" s="117"/>
      <c r="I777" s="118"/>
      <c r="J777" s="13"/>
      <c r="K777" s="270"/>
      <c r="L777" s="57"/>
      <c r="M777" s="119"/>
      <c r="N777" s="57"/>
      <c r="O777" s="57"/>
      <c r="P777" s="57"/>
      <c r="Q777" s="57"/>
      <c r="R777" s="57"/>
      <c r="S777" s="119"/>
      <c r="T777" s="57"/>
      <c r="AD777" s="122"/>
    </row>
    <row r="778" spans="1:30" ht="12.75" hidden="1" customHeight="1" x14ac:dyDescent="0.2">
      <c r="A778" s="121"/>
      <c r="D778" s="117"/>
      <c r="E778" s="117"/>
      <c r="I778" s="118"/>
      <c r="J778" s="13"/>
      <c r="K778" s="270"/>
      <c r="L778" s="57"/>
      <c r="M778" s="119"/>
      <c r="N778" s="57"/>
      <c r="O778" s="57"/>
      <c r="P778" s="57"/>
      <c r="Q778" s="57"/>
      <c r="R778" s="57"/>
      <c r="S778" s="119"/>
      <c r="T778" s="57"/>
      <c r="AD778" s="122"/>
    </row>
    <row r="779" spans="1:30" ht="12.75" hidden="1" customHeight="1" x14ac:dyDescent="0.2">
      <c r="A779" s="121"/>
      <c r="D779" s="117"/>
      <c r="E779" s="117"/>
      <c r="I779" s="118"/>
      <c r="J779" s="13"/>
      <c r="K779" s="270"/>
      <c r="L779" s="57"/>
      <c r="M779" s="119"/>
      <c r="N779" s="57"/>
      <c r="O779" s="57"/>
      <c r="P779" s="57"/>
      <c r="Q779" s="57"/>
      <c r="R779" s="57"/>
      <c r="S779" s="119"/>
      <c r="T779" s="57"/>
      <c r="AD779" s="122"/>
    </row>
    <row r="780" spans="1:30" ht="12.75" hidden="1" customHeight="1" x14ac:dyDescent="0.2">
      <c r="A780" s="121"/>
      <c r="D780" s="117"/>
      <c r="E780" s="117"/>
      <c r="I780" s="118"/>
      <c r="J780" s="13"/>
      <c r="K780" s="270"/>
      <c r="L780" s="57"/>
      <c r="M780" s="119"/>
      <c r="N780" s="57"/>
      <c r="O780" s="57"/>
      <c r="P780" s="57"/>
      <c r="Q780" s="57"/>
      <c r="R780" s="57"/>
      <c r="S780" s="119"/>
      <c r="T780" s="57"/>
      <c r="AD780" s="122"/>
    </row>
    <row r="781" spans="1:30" ht="12.75" hidden="1" customHeight="1" x14ac:dyDescent="0.2">
      <c r="A781" s="121"/>
      <c r="D781" s="117"/>
      <c r="E781" s="117"/>
      <c r="I781" s="118"/>
      <c r="J781" s="13"/>
      <c r="K781" s="270"/>
      <c r="L781" s="57"/>
      <c r="M781" s="119"/>
      <c r="N781" s="57"/>
      <c r="O781" s="57"/>
      <c r="P781" s="57"/>
      <c r="Q781" s="57"/>
      <c r="R781" s="57"/>
      <c r="S781" s="119"/>
      <c r="T781" s="57"/>
      <c r="AD781" s="122"/>
    </row>
    <row r="782" spans="1:30" ht="12.75" hidden="1" customHeight="1" x14ac:dyDescent="0.2">
      <c r="A782" s="121"/>
      <c r="D782" s="117"/>
      <c r="E782" s="117"/>
      <c r="I782" s="118"/>
      <c r="J782" s="13"/>
      <c r="K782" s="270"/>
      <c r="L782" s="57"/>
      <c r="M782" s="119"/>
      <c r="N782" s="57"/>
      <c r="O782" s="57"/>
      <c r="P782" s="57"/>
      <c r="Q782" s="57"/>
      <c r="R782" s="57"/>
      <c r="S782" s="119"/>
      <c r="T782" s="57"/>
      <c r="AD782" s="122"/>
    </row>
    <row r="783" spans="1:30" ht="12.75" hidden="1" customHeight="1" x14ac:dyDescent="0.2">
      <c r="A783" s="121"/>
      <c r="D783" s="117"/>
      <c r="E783" s="117"/>
      <c r="I783" s="118"/>
      <c r="J783" s="13"/>
      <c r="K783" s="270"/>
      <c r="L783" s="57"/>
      <c r="M783" s="119"/>
      <c r="N783" s="57"/>
      <c r="O783" s="57"/>
      <c r="P783" s="57"/>
      <c r="Q783" s="57"/>
      <c r="R783" s="57"/>
      <c r="S783" s="119"/>
      <c r="T783" s="57"/>
      <c r="AD783" s="122"/>
    </row>
    <row r="784" spans="1:30" ht="12.75" hidden="1" customHeight="1" x14ac:dyDescent="0.2">
      <c r="A784" s="121"/>
      <c r="D784" s="117"/>
      <c r="E784" s="117"/>
      <c r="I784" s="118"/>
      <c r="J784" s="13"/>
      <c r="K784" s="270"/>
      <c r="L784" s="57"/>
      <c r="M784" s="119"/>
      <c r="N784" s="57"/>
      <c r="O784" s="57"/>
      <c r="P784" s="57"/>
      <c r="Q784" s="57"/>
      <c r="R784" s="57"/>
      <c r="S784" s="119"/>
      <c r="T784" s="57"/>
      <c r="AD784" s="122"/>
    </row>
    <row r="785" spans="1:30" ht="12.75" hidden="1" customHeight="1" x14ac:dyDescent="0.2">
      <c r="A785" s="121"/>
      <c r="D785" s="117"/>
      <c r="E785" s="117"/>
      <c r="I785" s="118"/>
      <c r="J785" s="13"/>
      <c r="K785" s="270"/>
      <c r="L785" s="57"/>
      <c r="M785" s="119"/>
      <c r="N785" s="57"/>
      <c r="O785" s="57"/>
      <c r="P785" s="57"/>
      <c r="Q785" s="57"/>
      <c r="R785" s="57"/>
      <c r="S785" s="119"/>
      <c r="T785" s="57"/>
      <c r="AD785" s="122"/>
    </row>
    <row r="786" spans="1:30" ht="12.75" hidden="1" customHeight="1" x14ac:dyDescent="0.2">
      <c r="A786" s="121"/>
      <c r="D786" s="117"/>
      <c r="E786" s="117"/>
      <c r="I786" s="118"/>
      <c r="J786" s="13"/>
      <c r="K786" s="270"/>
      <c r="L786" s="57"/>
      <c r="M786" s="119"/>
      <c r="N786" s="57"/>
      <c r="O786" s="57"/>
      <c r="P786" s="57"/>
      <c r="Q786" s="57"/>
      <c r="R786" s="57"/>
      <c r="S786" s="119"/>
      <c r="T786" s="57"/>
      <c r="AD786" s="122"/>
    </row>
    <row r="787" spans="1:30" ht="12.75" hidden="1" customHeight="1" x14ac:dyDescent="0.2">
      <c r="A787" s="121"/>
      <c r="D787" s="117"/>
      <c r="E787" s="117"/>
      <c r="I787" s="118"/>
      <c r="J787" s="13"/>
      <c r="K787" s="270"/>
      <c r="L787" s="57"/>
      <c r="M787" s="119"/>
      <c r="N787" s="57"/>
      <c r="O787" s="57"/>
      <c r="P787" s="57"/>
      <c r="Q787" s="57"/>
      <c r="R787" s="57"/>
      <c r="S787" s="119"/>
      <c r="T787" s="57"/>
      <c r="AD787" s="122"/>
    </row>
    <row r="788" spans="1:30" ht="12.75" hidden="1" customHeight="1" x14ac:dyDescent="0.2">
      <c r="A788" s="121"/>
      <c r="D788" s="117"/>
      <c r="E788" s="117"/>
      <c r="I788" s="118"/>
      <c r="J788" s="13"/>
      <c r="K788" s="270"/>
      <c r="L788" s="57"/>
      <c r="M788" s="119"/>
      <c r="N788" s="57"/>
      <c r="O788" s="57"/>
      <c r="P788" s="57"/>
      <c r="Q788" s="57"/>
      <c r="R788" s="57"/>
      <c r="S788" s="119"/>
      <c r="T788" s="57"/>
      <c r="AD788" s="122"/>
    </row>
    <row r="789" spans="1:30" ht="12.75" hidden="1" customHeight="1" x14ac:dyDescent="0.2">
      <c r="A789" s="121"/>
      <c r="D789" s="117"/>
      <c r="E789" s="117"/>
      <c r="I789" s="118"/>
      <c r="J789" s="13"/>
      <c r="K789" s="270"/>
      <c r="L789" s="57"/>
      <c r="M789" s="119"/>
      <c r="N789" s="57"/>
      <c r="O789" s="57"/>
      <c r="P789" s="57"/>
      <c r="Q789" s="57"/>
      <c r="R789" s="57"/>
      <c r="S789" s="119"/>
      <c r="T789" s="57"/>
      <c r="AD789" s="122"/>
    </row>
    <row r="790" spans="1:30" ht="12.75" hidden="1" customHeight="1" x14ac:dyDescent="0.2">
      <c r="A790" s="121"/>
      <c r="D790" s="117"/>
      <c r="E790" s="117"/>
      <c r="I790" s="118"/>
      <c r="J790" s="13"/>
      <c r="K790" s="270"/>
      <c r="L790" s="57"/>
      <c r="M790" s="119"/>
      <c r="N790" s="57"/>
      <c r="O790" s="57"/>
      <c r="P790" s="57"/>
      <c r="Q790" s="57"/>
      <c r="R790" s="57"/>
      <c r="S790" s="119"/>
      <c r="T790" s="57"/>
      <c r="AD790" s="122"/>
    </row>
    <row r="791" spans="1:30" ht="12.75" hidden="1" customHeight="1" x14ac:dyDescent="0.2">
      <c r="A791" s="121"/>
      <c r="D791" s="117"/>
      <c r="E791" s="117"/>
      <c r="I791" s="118"/>
      <c r="J791" s="13"/>
      <c r="K791" s="270"/>
      <c r="L791" s="57"/>
      <c r="M791" s="119"/>
      <c r="N791" s="57"/>
      <c r="O791" s="57"/>
      <c r="P791" s="57"/>
      <c r="Q791" s="57"/>
      <c r="R791" s="57"/>
      <c r="S791" s="119"/>
      <c r="T791" s="57"/>
      <c r="AD791" s="122"/>
    </row>
    <row r="792" spans="1:30" ht="12.75" hidden="1" customHeight="1" x14ac:dyDescent="0.2">
      <c r="A792" s="121"/>
      <c r="D792" s="117"/>
      <c r="E792" s="117"/>
      <c r="I792" s="118"/>
      <c r="J792" s="13"/>
      <c r="K792" s="270"/>
      <c r="L792" s="57"/>
      <c r="M792" s="119"/>
      <c r="N792" s="57"/>
      <c r="O792" s="57"/>
      <c r="P792" s="57"/>
      <c r="Q792" s="57"/>
      <c r="R792" s="57"/>
      <c r="S792" s="119"/>
      <c r="T792" s="57"/>
      <c r="AD792" s="122"/>
    </row>
    <row r="793" spans="1:30" ht="12.75" hidden="1" customHeight="1" x14ac:dyDescent="0.2">
      <c r="A793" s="121"/>
      <c r="D793" s="117"/>
      <c r="E793" s="117"/>
      <c r="I793" s="118"/>
      <c r="J793" s="13"/>
      <c r="K793" s="270"/>
      <c r="L793" s="57"/>
      <c r="M793" s="119"/>
      <c r="N793" s="57"/>
      <c r="O793" s="57"/>
      <c r="P793" s="57"/>
      <c r="Q793" s="57"/>
      <c r="R793" s="57"/>
      <c r="S793" s="119"/>
      <c r="T793" s="57"/>
      <c r="AD793" s="122"/>
    </row>
    <row r="794" spans="1:30" ht="12.75" hidden="1" customHeight="1" x14ac:dyDescent="0.2">
      <c r="A794" s="121"/>
      <c r="D794" s="117"/>
      <c r="E794" s="117"/>
      <c r="I794" s="118"/>
      <c r="J794" s="13"/>
      <c r="K794" s="270"/>
      <c r="L794" s="57"/>
      <c r="M794" s="119"/>
      <c r="N794" s="57"/>
      <c r="O794" s="57"/>
      <c r="P794" s="57"/>
      <c r="Q794" s="57"/>
      <c r="R794" s="57"/>
      <c r="S794" s="119"/>
      <c r="T794" s="57"/>
      <c r="AD794" s="122"/>
    </row>
    <row r="795" spans="1:30" ht="12.75" hidden="1" customHeight="1" x14ac:dyDescent="0.2">
      <c r="A795" s="121"/>
      <c r="D795" s="117"/>
      <c r="E795" s="117"/>
      <c r="I795" s="118"/>
      <c r="J795" s="13"/>
      <c r="K795" s="270"/>
      <c r="L795" s="57"/>
      <c r="M795" s="119"/>
      <c r="N795" s="57"/>
      <c r="O795" s="57"/>
      <c r="P795" s="57"/>
      <c r="Q795" s="57"/>
      <c r="R795" s="57"/>
      <c r="S795" s="119"/>
      <c r="T795" s="57"/>
      <c r="AD795" s="122"/>
    </row>
    <row r="796" spans="1:30" ht="12.75" hidden="1" customHeight="1" x14ac:dyDescent="0.2">
      <c r="A796" s="121"/>
      <c r="D796" s="117"/>
      <c r="E796" s="117"/>
      <c r="I796" s="118"/>
      <c r="J796" s="13"/>
      <c r="K796" s="270"/>
      <c r="L796" s="57"/>
      <c r="M796" s="119"/>
      <c r="N796" s="57"/>
      <c r="O796" s="57"/>
      <c r="P796" s="57"/>
      <c r="Q796" s="57"/>
      <c r="R796" s="57"/>
      <c r="S796" s="119"/>
      <c r="T796" s="57"/>
      <c r="AD796" s="122"/>
    </row>
    <row r="797" spans="1:30" ht="12.75" hidden="1" customHeight="1" x14ac:dyDescent="0.2">
      <c r="A797" s="121"/>
      <c r="D797" s="117"/>
      <c r="E797" s="117"/>
      <c r="I797" s="118"/>
      <c r="J797" s="13"/>
      <c r="K797" s="270"/>
      <c r="L797" s="57"/>
      <c r="M797" s="119"/>
      <c r="N797" s="57"/>
      <c r="O797" s="57"/>
      <c r="P797" s="57"/>
      <c r="Q797" s="57"/>
      <c r="R797" s="57"/>
      <c r="S797" s="119"/>
      <c r="T797" s="57"/>
      <c r="AD797" s="122"/>
    </row>
    <row r="798" spans="1:30" ht="12.75" hidden="1" customHeight="1" x14ac:dyDescent="0.2">
      <c r="A798" s="121"/>
      <c r="D798" s="117"/>
      <c r="E798" s="117"/>
      <c r="I798" s="118"/>
      <c r="J798" s="13"/>
      <c r="K798" s="270"/>
      <c r="L798" s="57"/>
      <c r="M798" s="119"/>
      <c r="N798" s="57"/>
      <c r="O798" s="57"/>
      <c r="P798" s="57"/>
      <c r="Q798" s="57"/>
      <c r="R798" s="57"/>
      <c r="S798" s="119"/>
      <c r="T798" s="57"/>
      <c r="AD798" s="122"/>
    </row>
    <row r="799" spans="1:30" ht="12.75" hidden="1" customHeight="1" x14ac:dyDescent="0.2">
      <c r="A799" s="121"/>
      <c r="D799" s="117"/>
      <c r="E799" s="117"/>
      <c r="I799" s="118"/>
      <c r="J799" s="13"/>
      <c r="K799" s="270"/>
      <c r="L799" s="57"/>
      <c r="M799" s="119"/>
      <c r="N799" s="57"/>
      <c r="O799" s="57"/>
      <c r="P799" s="57"/>
      <c r="Q799" s="57"/>
      <c r="R799" s="57"/>
      <c r="S799" s="119"/>
      <c r="T799" s="57"/>
      <c r="AD799" s="122"/>
    </row>
    <row r="800" spans="1:30" ht="12.75" hidden="1" customHeight="1" x14ac:dyDescent="0.2">
      <c r="A800" s="121"/>
      <c r="D800" s="117"/>
      <c r="E800" s="117"/>
      <c r="I800" s="118"/>
      <c r="J800" s="13"/>
      <c r="K800" s="270"/>
      <c r="L800" s="57"/>
      <c r="M800" s="119"/>
      <c r="N800" s="57"/>
      <c r="O800" s="57"/>
      <c r="P800" s="57"/>
      <c r="Q800" s="57"/>
      <c r="R800" s="57"/>
      <c r="S800" s="119"/>
      <c r="T800" s="57"/>
      <c r="AD800" s="122"/>
    </row>
    <row r="801" spans="1:30" ht="12.75" hidden="1" customHeight="1" x14ac:dyDescent="0.2">
      <c r="A801" s="121"/>
      <c r="D801" s="117"/>
      <c r="E801" s="117"/>
      <c r="I801" s="118"/>
      <c r="J801" s="13"/>
      <c r="K801" s="270"/>
      <c r="L801" s="57"/>
      <c r="M801" s="119"/>
      <c r="N801" s="57"/>
      <c r="O801" s="57"/>
      <c r="P801" s="57"/>
      <c r="Q801" s="57"/>
      <c r="R801" s="57"/>
      <c r="S801" s="119"/>
      <c r="T801" s="57"/>
      <c r="AD801" s="122"/>
    </row>
    <row r="802" spans="1:30" ht="12.75" hidden="1" customHeight="1" x14ac:dyDescent="0.2">
      <c r="A802" s="121"/>
      <c r="D802" s="117"/>
      <c r="E802" s="117"/>
      <c r="I802" s="118"/>
      <c r="J802" s="13"/>
      <c r="K802" s="270"/>
      <c r="L802" s="57"/>
      <c r="M802" s="119"/>
      <c r="N802" s="57"/>
      <c r="O802" s="57"/>
      <c r="P802" s="57"/>
      <c r="Q802" s="57"/>
      <c r="R802" s="57"/>
      <c r="S802" s="119"/>
      <c r="T802" s="57"/>
      <c r="AD802" s="122"/>
    </row>
    <row r="803" spans="1:30" ht="12.75" hidden="1" customHeight="1" x14ac:dyDescent="0.2">
      <c r="A803" s="121"/>
      <c r="D803" s="117"/>
      <c r="E803" s="117"/>
      <c r="I803" s="118"/>
      <c r="J803" s="13"/>
      <c r="K803" s="270"/>
      <c r="L803" s="57"/>
      <c r="M803" s="119"/>
      <c r="N803" s="57"/>
      <c r="O803" s="57"/>
      <c r="P803" s="57"/>
      <c r="Q803" s="57"/>
      <c r="R803" s="57"/>
      <c r="S803" s="119"/>
      <c r="T803" s="57"/>
      <c r="AD803" s="122"/>
    </row>
    <row r="804" spans="1:30" ht="12.75" hidden="1" customHeight="1" x14ac:dyDescent="0.2">
      <c r="A804" s="121"/>
      <c r="D804" s="117"/>
      <c r="E804" s="117"/>
      <c r="I804" s="118"/>
      <c r="J804" s="13"/>
      <c r="K804" s="270"/>
      <c r="L804" s="57"/>
      <c r="M804" s="119"/>
      <c r="N804" s="57"/>
      <c r="O804" s="57"/>
      <c r="P804" s="57"/>
      <c r="Q804" s="57"/>
      <c r="R804" s="57"/>
      <c r="S804" s="119"/>
      <c r="T804" s="57"/>
      <c r="AD804" s="122"/>
    </row>
    <row r="805" spans="1:30" ht="12.75" hidden="1" customHeight="1" x14ac:dyDescent="0.2">
      <c r="A805" s="121"/>
      <c r="D805" s="117"/>
      <c r="E805" s="117"/>
      <c r="I805" s="118"/>
      <c r="J805" s="13"/>
      <c r="K805" s="270"/>
      <c r="L805" s="57"/>
      <c r="M805" s="119"/>
      <c r="N805" s="57"/>
      <c r="O805" s="57"/>
      <c r="P805" s="57"/>
      <c r="Q805" s="57"/>
      <c r="R805" s="57"/>
      <c r="S805" s="119"/>
      <c r="T805" s="57"/>
      <c r="AD805" s="122"/>
    </row>
    <row r="806" spans="1:30" ht="12.75" hidden="1" customHeight="1" x14ac:dyDescent="0.2">
      <c r="A806" s="121"/>
      <c r="D806" s="117"/>
      <c r="E806" s="117"/>
      <c r="I806" s="118"/>
      <c r="J806" s="13"/>
      <c r="K806" s="270"/>
      <c r="L806" s="57"/>
      <c r="M806" s="119"/>
      <c r="N806" s="57"/>
      <c r="O806" s="57"/>
      <c r="P806" s="57"/>
      <c r="Q806" s="57"/>
      <c r="R806" s="57"/>
      <c r="S806" s="119"/>
      <c r="T806" s="57"/>
      <c r="AD806" s="122"/>
    </row>
    <row r="807" spans="1:30" ht="12.75" hidden="1" customHeight="1" x14ac:dyDescent="0.2">
      <c r="A807" s="121"/>
      <c r="D807" s="117"/>
      <c r="E807" s="117"/>
      <c r="I807" s="118"/>
      <c r="J807" s="13"/>
      <c r="K807" s="270"/>
      <c r="L807" s="57"/>
      <c r="M807" s="119"/>
      <c r="N807" s="57"/>
      <c r="O807" s="57"/>
      <c r="P807" s="57"/>
      <c r="Q807" s="57"/>
      <c r="R807" s="57"/>
      <c r="S807" s="119"/>
      <c r="T807" s="57"/>
      <c r="AD807" s="122"/>
    </row>
    <row r="808" spans="1:30" ht="12.75" hidden="1" customHeight="1" x14ac:dyDescent="0.2">
      <c r="A808" s="121"/>
      <c r="D808" s="117"/>
      <c r="E808" s="117"/>
      <c r="I808" s="118"/>
      <c r="J808" s="13"/>
      <c r="K808" s="270"/>
      <c r="L808" s="57"/>
      <c r="M808" s="119"/>
      <c r="N808" s="57"/>
      <c r="O808" s="57"/>
      <c r="P808" s="57"/>
      <c r="Q808" s="57"/>
      <c r="R808" s="57"/>
      <c r="S808" s="119"/>
      <c r="T808" s="57"/>
      <c r="AD808" s="122"/>
    </row>
    <row r="809" spans="1:30" ht="12.75" hidden="1" customHeight="1" x14ac:dyDescent="0.2">
      <c r="A809" s="121"/>
      <c r="D809" s="117"/>
      <c r="E809" s="117"/>
      <c r="I809" s="118"/>
      <c r="J809" s="13"/>
      <c r="K809" s="270"/>
      <c r="L809" s="57"/>
      <c r="M809" s="119"/>
      <c r="N809" s="57"/>
      <c r="O809" s="57"/>
      <c r="P809" s="57"/>
      <c r="Q809" s="57"/>
      <c r="R809" s="57"/>
      <c r="S809" s="119"/>
      <c r="T809" s="57"/>
      <c r="AD809" s="122"/>
    </row>
    <row r="810" spans="1:30" ht="12.75" hidden="1" customHeight="1" x14ac:dyDescent="0.2">
      <c r="A810" s="121"/>
      <c r="D810" s="117"/>
      <c r="E810" s="117"/>
      <c r="I810" s="118"/>
      <c r="J810" s="13"/>
      <c r="K810" s="270"/>
      <c r="L810" s="57"/>
      <c r="M810" s="119"/>
      <c r="N810" s="57"/>
      <c r="O810" s="57"/>
      <c r="P810" s="57"/>
      <c r="Q810" s="57"/>
      <c r="R810" s="57"/>
      <c r="S810" s="119"/>
      <c r="T810" s="57"/>
      <c r="AD810" s="122"/>
    </row>
    <row r="811" spans="1:30" ht="12.75" hidden="1" customHeight="1" x14ac:dyDescent="0.2">
      <c r="A811" s="121"/>
      <c r="D811" s="117"/>
      <c r="E811" s="117"/>
      <c r="I811" s="118"/>
      <c r="J811" s="13"/>
      <c r="K811" s="270"/>
      <c r="L811" s="57"/>
      <c r="M811" s="119"/>
      <c r="N811" s="57"/>
      <c r="O811" s="57"/>
      <c r="P811" s="57"/>
      <c r="Q811" s="57"/>
      <c r="R811" s="57"/>
      <c r="S811" s="119"/>
      <c r="T811" s="57"/>
      <c r="AD811" s="122"/>
    </row>
    <row r="812" spans="1:30" ht="12.75" hidden="1" customHeight="1" x14ac:dyDescent="0.2">
      <c r="A812" s="121"/>
      <c r="D812" s="117"/>
      <c r="E812" s="117"/>
      <c r="I812" s="118"/>
      <c r="J812" s="13"/>
      <c r="K812" s="270"/>
      <c r="L812" s="57"/>
      <c r="M812" s="119"/>
      <c r="N812" s="57"/>
      <c r="O812" s="57"/>
      <c r="P812" s="57"/>
      <c r="Q812" s="57"/>
      <c r="R812" s="57"/>
      <c r="S812" s="119"/>
      <c r="T812" s="57"/>
      <c r="AD812" s="122"/>
    </row>
    <row r="813" spans="1:30" ht="12.75" hidden="1" customHeight="1" x14ac:dyDescent="0.2">
      <c r="A813" s="121"/>
      <c r="D813" s="117"/>
      <c r="E813" s="117"/>
      <c r="I813" s="118"/>
      <c r="J813" s="13"/>
      <c r="K813" s="270"/>
      <c r="L813" s="57"/>
      <c r="M813" s="119"/>
      <c r="N813" s="57"/>
      <c r="O813" s="57"/>
      <c r="P813" s="57"/>
      <c r="Q813" s="57"/>
      <c r="R813" s="57"/>
      <c r="S813" s="119"/>
      <c r="T813" s="57"/>
      <c r="AD813" s="122"/>
    </row>
    <row r="814" spans="1:30" ht="12.75" hidden="1" customHeight="1" x14ac:dyDescent="0.2">
      <c r="A814" s="121"/>
      <c r="D814" s="117"/>
      <c r="E814" s="117"/>
      <c r="I814" s="118"/>
      <c r="J814" s="13"/>
      <c r="K814" s="270"/>
      <c r="L814" s="57"/>
      <c r="M814" s="119"/>
      <c r="N814" s="57"/>
      <c r="O814" s="57"/>
      <c r="P814" s="57"/>
      <c r="Q814" s="57"/>
      <c r="R814" s="57"/>
      <c r="S814" s="119"/>
      <c r="T814" s="57"/>
      <c r="AD814" s="122"/>
    </row>
    <row r="815" spans="1:30" ht="12.75" hidden="1" customHeight="1" x14ac:dyDescent="0.2">
      <c r="A815" s="121"/>
      <c r="D815" s="117"/>
      <c r="E815" s="117"/>
      <c r="I815" s="118"/>
      <c r="J815" s="13"/>
      <c r="K815" s="270"/>
      <c r="L815" s="57"/>
      <c r="M815" s="119"/>
      <c r="N815" s="57"/>
      <c r="O815" s="57"/>
      <c r="P815" s="57"/>
      <c r="Q815" s="57"/>
      <c r="R815" s="57"/>
      <c r="S815" s="119"/>
      <c r="T815" s="57"/>
      <c r="AD815" s="122"/>
    </row>
    <row r="816" spans="1:30" ht="12.75" hidden="1" customHeight="1" x14ac:dyDescent="0.2">
      <c r="A816" s="121"/>
      <c r="D816" s="117"/>
      <c r="E816" s="117"/>
      <c r="I816" s="118"/>
      <c r="J816" s="13"/>
      <c r="K816" s="270"/>
      <c r="L816" s="57"/>
      <c r="M816" s="119"/>
      <c r="N816" s="57"/>
      <c r="O816" s="57"/>
      <c r="P816" s="57"/>
      <c r="Q816" s="57"/>
      <c r="R816" s="57"/>
      <c r="S816" s="119"/>
      <c r="T816" s="57"/>
      <c r="AD816" s="122"/>
    </row>
    <row r="817" spans="1:30" ht="12.75" hidden="1" customHeight="1" x14ac:dyDescent="0.2">
      <c r="A817" s="121"/>
      <c r="D817" s="117"/>
      <c r="E817" s="117"/>
      <c r="I817" s="118"/>
      <c r="J817" s="13"/>
      <c r="K817" s="270"/>
      <c r="L817" s="57"/>
      <c r="M817" s="119"/>
      <c r="N817" s="57"/>
      <c r="O817" s="57"/>
      <c r="P817" s="57"/>
      <c r="Q817" s="57"/>
      <c r="R817" s="57"/>
      <c r="S817" s="119"/>
      <c r="T817" s="57"/>
      <c r="AD817" s="122"/>
    </row>
    <row r="818" spans="1:30" ht="12.75" hidden="1" customHeight="1" x14ac:dyDescent="0.2">
      <c r="A818" s="121"/>
      <c r="D818" s="117"/>
      <c r="E818" s="117"/>
      <c r="I818" s="118"/>
      <c r="J818" s="13"/>
      <c r="K818" s="270"/>
      <c r="L818" s="57"/>
      <c r="M818" s="119"/>
      <c r="N818" s="57"/>
      <c r="O818" s="57"/>
      <c r="P818" s="57"/>
      <c r="Q818" s="57"/>
      <c r="R818" s="57"/>
      <c r="S818" s="119"/>
      <c r="T818" s="57"/>
      <c r="AD818" s="122"/>
    </row>
    <row r="819" spans="1:30" ht="12.75" hidden="1" customHeight="1" x14ac:dyDescent="0.2">
      <c r="A819" s="121"/>
      <c r="D819" s="117"/>
      <c r="E819" s="117"/>
      <c r="I819" s="118"/>
      <c r="J819" s="13"/>
      <c r="K819" s="270"/>
      <c r="L819" s="57"/>
      <c r="M819" s="119"/>
      <c r="N819" s="57"/>
      <c r="O819" s="57"/>
      <c r="P819" s="57"/>
      <c r="Q819" s="57"/>
      <c r="R819" s="57"/>
      <c r="S819" s="119"/>
      <c r="T819" s="57"/>
      <c r="AD819" s="122"/>
    </row>
    <row r="820" spans="1:30" ht="12.75" hidden="1" customHeight="1" x14ac:dyDescent="0.2">
      <c r="A820" s="121"/>
      <c r="D820" s="117"/>
      <c r="E820" s="117"/>
      <c r="I820" s="118"/>
      <c r="J820" s="13"/>
      <c r="K820" s="270"/>
      <c r="L820" s="57"/>
      <c r="M820" s="119"/>
      <c r="N820" s="57"/>
      <c r="O820" s="57"/>
      <c r="P820" s="57"/>
      <c r="Q820" s="57"/>
      <c r="R820" s="57"/>
      <c r="S820" s="119"/>
      <c r="T820" s="57"/>
      <c r="AD820" s="122"/>
    </row>
    <row r="821" spans="1:30" ht="12.75" hidden="1" customHeight="1" x14ac:dyDescent="0.2">
      <c r="A821" s="121"/>
      <c r="D821" s="117"/>
      <c r="E821" s="117"/>
      <c r="I821" s="118"/>
      <c r="J821" s="13"/>
      <c r="K821" s="270"/>
      <c r="L821" s="57"/>
      <c r="M821" s="119"/>
      <c r="N821" s="57"/>
      <c r="O821" s="57"/>
      <c r="P821" s="57"/>
      <c r="Q821" s="57"/>
      <c r="R821" s="57"/>
      <c r="S821" s="119"/>
      <c r="T821" s="57"/>
      <c r="AD821" s="122"/>
    </row>
    <row r="822" spans="1:30" ht="12.75" hidden="1" customHeight="1" x14ac:dyDescent="0.2">
      <c r="A822" s="121"/>
      <c r="D822" s="117"/>
      <c r="E822" s="117"/>
      <c r="I822" s="118"/>
      <c r="J822" s="13"/>
      <c r="K822" s="270"/>
      <c r="L822" s="57"/>
      <c r="M822" s="119"/>
      <c r="N822" s="57"/>
      <c r="O822" s="57"/>
      <c r="P822" s="57"/>
      <c r="Q822" s="57"/>
      <c r="R822" s="57"/>
      <c r="S822" s="119"/>
      <c r="T822" s="57"/>
      <c r="AD822" s="122"/>
    </row>
    <row r="823" spans="1:30" ht="12.75" hidden="1" customHeight="1" x14ac:dyDescent="0.2">
      <c r="A823" s="121"/>
      <c r="D823" s="117"/>
      <c r="E823" s="117"/>
      <c r="I823" s="118"/>
      <c r="J823" s="13"/>
      <c r="K823" s="270"/>
      <c r="L823" s="57"/>
      <c r="M823" s="119"/>
      <c r="N823" s="57"/>
      <c r="O823" s="57"/>
      <c r="P823" s="57"/>
      <c r="Q823" s="57"/>
      <c r="R823" s="57"/>
      <c r="S823" s="119"/>
      <c r="T823" s="57"/>
      <c r="AD823" s="122"/>
    </row>
    <row r="824" spans="1:30" ht="12.75" hidden="1" customHeight="1" x14ac:dyDescent="0.2">
      <c r="A824" s="121"/>
      <c r="D824" s="117"/>
      <c r="E824" s="117"/>
      <c r="I824" s="118"/>
      <c r="J824" s="13"/>
      <c r="K824" s="270"/>
      <c r="L824" s="57"/>
      <c r="M824" s="119"/>
      <c r="N824" s="57"/>
      <c r="O824" s="57"/>
      <c r="P824" s="57"/>
      <c r="Q824" s="57"/>
      <c r="R824" s="57"/>
      <c r="S824" s="119"/>
      <c r="T824" s="57"/>
      <c r="AD824" s="122"/>
    </row>
    <row r="825" spans="1:30" ht="12.75" hidden="1" customHeight="1" x14ac:dyDescent="0.2">
      <c r="A825" s="121"/>
      <c r="D825" s="117"/>
      <c r="E825" s="117"/>
      <c r="I825" s="118"/>
      <c r="J825" s="13"/>
      <c r="K825" s="270"/>
      <c r="L825" s="57"/>
      <c r="M825" s="119"/>
      <c r="N825" s="57"/>
      <c r="O825" s="57"/>
      <c r="P825" s="57"/>
      <c r="Q825" s="57"/>
      <c r="R825" s="57"/>
      <c r="S825" s="119"/>
      <c r="T825" s="57"/>
      <c r="AD825" s="122"/>
    </row>
    <row r="826" spans="1:30" ht="12.75" hidden="1" customHeight="1" x14ac:dyDescent="0.2">
      <c r="A826" s="121"/>
      <c r="D826" s="117"/>
      <c r="E826" s="117"/>
      <c r="I826" s="118"/>
      <c r="J826" s="13"/>
      <c r="K826" s="270"/>
      <c r="L826" s="57"/>
      <c r="M826" s="119"/>
      <c r="N826" s="57"/>
      <c r="O826" s="57"/>
      <c r="P826" s="57"/>
      <c r="Q826" s="57"/>
      <c r="R826" s="57"/>
      <c r="S826" s="119"/>
      <c r="T826" s="57"/>
      <c r="AD826" s="122"/>
    </row>
    <row r="827" spans="1:30" ht="12.75" hidden="1" customHeight="1" x14ac:dyDescent="0.2">
      <c r="A827" s="121"/>
      <c r="D827" s="117"/>
      <c r="E827" s="117"/>
      <c r="I827" s="118"/>
      <c r="J827" s="13"/>
      <c r="K827" s="270"/>
      <c r="L827" s="57"/>
      <c r="M827" s="119"/>
      <c r="N827" s="57"/>
      <c r="O827" s="57"/>
      <c r="P827" s="57"/>
      <c r="Q827" s="57"/>
      <c r="R827" s="57"/>
      <c r="S827" s="119"/>
      <c r="T827" s="57"/>
      <c r="AD827" s="122"/>
    </row>
    <row r="828" spans="1:30" ht="12.75" hidden="1" customHeight="1" x14ac:dyDescent="0.2">
      <c r="A828" s="121"/>
      <c r="D828" s="117"/>
      <c r="E828" s="117"/>
      <c r="I828" s="118"/>
      <c r="J828" s="13"/>
      <c r="K828" s="270"/>
      <c r="L828" s="57"/>
      <c r="M828" s="119"/>
      <c r="N828" s="57"/>
      <c r="O828" s="57"/>
      <c r="P828" s="57"/>
      <c r="Q828" s="57"/>
      <c r="R828" s="57"/>
      <c r="S828" s="119"/>
      <c r="T828" s="57"/>
      <c r="AD828" s="122"/>
    </row>
    <row r="829" spans="1:30" ht="12.75" hidden="1" customHeight="1" x14ac:dyDescent="0.2">
      <c r="A829" s="121"/>
      <c r="D829" s="117"/>
      <c r="E829" s="117"/>
      <c r="I829" s="118"/>
      <c r="J829" s="13"/>
      <c r="K829" s="270"/>
      <c r="L829" s="57"/>
      <c r="M829" s="119"/>
      <c r="N829" s="57"/>
      <c r="O829" s="57"/>
      <c r="P829" s="57"/>
      <c r="Q829" s="57"/>
      <c r="R829" s="57"/>
      <c r="S829" s="119"/>
      <c r="T829" s="57"/>
      <c r="AD829" s="122"/>
    </row>
    <row r="830" spans="1:30" ht="12.75" hidden="1" customHeight="1" x14ac:dyDescent="0.2">
      <c r="A830" s="121"/>
      <c r="D830" s="117"/>
      <c r="E830" s="117"/>
      <c r="I830" s="118"/>
      <c r="J830" s="13"/>
      <c r="K830" s="270"/>
      <c r="L830" s="57"/>
      <c r="M830" s="119"/>
      <c r="N830" s="57"/>
      <c r="O830" s="57"/>
      <c r="P830" s="57"/>
      <c r="Q830" s="57"/>
      <c r="R830" s="57"/>
      <c r="S830" s="119"/>
      <c r="T830" s="57"/>
      <c r="AD830" s="122"/>
    </row>
    <row r="831" spans="1:30" ht="12.75" hidden="1" customHeight="1" x14ac:dyDescent="0.2">
      <c r="A831" s="121"/>
      <c r="D831" s="117"/>
      <c r="E831" s="117"/>
      <c r="I831" s="118"/>
      <c r="J831" s="13"/>
      <c r="K831" s="270"/>
      <c r="L831" s="57"/>
      <c r="M831" s="119"/>
      <c r="N831" s="57"/>
      <c r="O831" s="57"/>
      <c r="P831" s="57"/>
      <c r="Q831" s="57"/>
      <c r="R831" s="57"/>
      <c r="S831" s="119"/>
      <c r="T831" s="57"/>
      <c r="AD831" s="122"/>
    </row>
    <row r="832" spans="1:30" ht="12.75" hidden="1" customHeight="1" x14ac:dyDescent="0.2">
      <c r="A832" s="121"/>
      <c r="D832" s="117"/>
      <c r="E832" s="117"/>
      <c r="I832" s="118"/>
      <c r="J832" s="13"/>
      <c r="K832" s="270"/>
      <c r="L832" s="57"/>
      <c r="M832" s="119"/>
      <c r="N832" s="57"/>
      <c r="O832" s="57"/>
      <c r="P832" s="57"/>
      <c r="Q832" s="57"/>
      <c r="R832" s="57"/>
      <c r="S832" s="119"/>
      <c r="T832" s="57"/>
      <c r="AD832" s="122"/>
    </row>
    <row r="833" spans="1:30" ht="12.75" hidden="1" customHeight="1" x14ac:dyDescent="0.2">
      <c r="A833" s="121"/>
      <c r="D833" s="117"/>
      <c r="E833" s="117"/>
      <c r="I833" s="118"/>
      <c r="J833" s="13"/>
      <c r="K833" s="270"/>
      <c r="L833" s="57"/>
      <c r="M833" s="119"/>
      <c r="N833" s="57"/>
      <c r="O833" s="57"/>
      <c r="P833" s="57"/>
      <c r="Q833" s="57"/>
      <c r="R833" s="57"/>
      <c r="S833" s="119"/>
      <c r="T833" s="57"/>
      <c r="AD833" s="122"/>
    </row>
    <row r="834" spans="1:30" ht="12.75" hidden="1" customHeight="1" x14ac:dyDescent="0.2">
      <c r="A834" s="121"/>
      <c r="D834" s="117"/>
      <c r="E834" s="117"/>
      <c r="I834" s="118"/>
      <c r="J834" s="13"/>
      <c r="K834" s="270"/>
      <c r="L834" s="57"/>
      <c r="M834" s="119"/>
      <c r="N834" s="57"/>
      <c r="O834" s="57"/>
      <c r="P834" s="57"/>
      <c r="Q834" s="57"/>
      <c r="R834" s="57"/>
      <c r="S834" s="119"/>
      <c r="T834" s="57"/>
      <c r="AD834" s="122"/>
    </row>
    <row r="835" spans="1:30" ht="12.75" hidden="1" customHeight="1" x14ac:dyDescent="0.2">
      <c r="A835" s="121"/>
      <c r="D835" s="117"/>
      <c r="E835" s="117"/>
      <c r="I835" s="118"/>
      <c r="J835" s="13"/>
      <c r="K835" s="270"/>
      <c r="L835" s="57"/>
      <c r="M835" s="119"/>
      <c r="N835" s="57"/>
      <c r="O835" s="57"/>
      <c r="P835" s="57"/>
      <c r="Q835" s="57"/>
      <c r="R835" s="57"/>
      <c r="S835" s="119"/>
      <c r="T835" s="57"/>
      <c r="AD835" s="122"/>
    </row>
    <row r="836" spans="1:30" ht="12.75" hidden="1" customHeight="1" x14ac:dyDescent="0.2">
      <c r="A836" s="121"/>
      <c r="D836" s="117"/>
      <c r="E836" s="117"/>
      <c r="I836" s="118"/>
      <c r="J836" s="13"/>
      <c r="K836" s="270"/>
      <c r="L836" s="57"/>
      <c r="M836" s="119"/>
      <c r="N836" s="57"/>
      <c r="O836" s="57"/>
      <c r="P836" s="57"/>
      <c r="Q836" s="57"/>
      <c r="R836" s="57"/>
      <c r="S836" s="119"/>
      <c r="T836" s="57"/>
      <c r="AD836" s="122"/>
    </row>
    <row r="837" spans="1:30" ht="12.75" hidden="1" customHeight="1" x14ac:dyDescent="0.2">
      <c r="A837" s="121"/>
      <c r="D837" s="117"/>
      <c r="E837" s="117"/>
      <c r="I837" s="118"/>
      <c r="J837" s="13"/>
      <c r="K837" s="270"/>
      <c r="L837" s="57"/>
      <c r="M837" s="119"/>
      <c r="N837" s="57"/>
      <c r="O837" s="57"/>
      <c r="P837" s="57"/>
      <c r="Q837" s="57"/>
      <c r="R837" s="57"/>
      <c r="S837" s="119"/>
      <c r="T837" s="57"/>
      <c r="AD837" s="122"/>
    </row>
    <row r="838" spans="1:30" ht="12.75" hidden="1" customHeight="1" x14ac:dyDescent="0.2">
      <c r="A838" s="121"/>
      <c r="D838" s="117"/>
      <c r="E838" s="117"/>
      <c r="I838" s="118"/>
      <c r="J838" s="13"/>
      <c r="K838" s="270"/>
      <c r="L838" s="57"/>
      <c r="M838" s="119"/>
      <c r="N838" s="57"/>
      <c r="O838" s="57"/>
      <c r="P838" s="57"/>
      <c r="Q838" s="57"/>
      <c r="R838" s="57"/>
      <c r="S838" s="119"/>
      <c r="T838" s="57"/>
      <c r="AD838" s="122"/>
    </row>
    <row r="839" spans="1:30" ht="12.75" hidden="1" customHeight="1" x14ac:dyDescent="0.2">
      <c r="A839" s="121"/>
      <c r="D839" s="117"/>
      <c r="E839" s="117"/>
      <c r="I839" s="118"/>
      <c r="J839" s="13"/>
      <c r="K839" s="270"/>
      <c r="L839" s="57"/>
      <c r="M839" s="119"/>
      <c r="N839" s="57"/>
      <c r="O839" s="57"/>
      <c r="P839" s="57"/>
      <c r="Q839" s="57"/>
      <c r="R839" s="57"/>
      <c r="S839" s="119"/>
      <c r="T839" s="57"/>
      <c r="AD839" s="122"/>
    </row>
    <row r="840" spans="1:30" ht="12.75" hidden="1" customHeight="1" x14ac:dyDescent="0.2">
      <c r="A840" s="121"/>
      <c r="D840" s="117"/>
      <c r="E840" s="117"/>
      <c r="I840" s="118"/>
      <c r="J840" s="13"/>
      <c r="K840" s="270"/>
      <c r="L840" s="57"/>
      <c r="M840" s="119"/>
      <c r="N840" s="57"/>
      <c r="O840" s="57"/>
      <c r="P840" s="57"/>
      <c r="Q840" s="57"/>
      <c r="R840" s="57"/>
      <c r="S840" s="119"/>
      <c r="T840" s="57"/>
      <c r="AD840" s="122"/>
    </row>
    <row r="841" spans="1:30" ht="12.75" hidden="1" customHeight="1" x14ac:dyDescent="0.2">
      <c r="A841" s="121"/>
      <c r="D841" s="117"/>
      <c r="E841" s="117"/>
      <c r="I841" s="118"/>
      <c r="J841" s="13"/>
      <c r="K841" s="270"/>
      <c r="L841" s="57"/>
      <c r="M841" s="119"/>
      <c r="N841" s="57"/>
      <c r="O841" s="57"/>
      <c r="P841" s="57"/>
      <c r="Q841" s="57"/>
      <c r="R841" s="57"/>
      <c r="S841" s="119"/>
      <c r="T841" s="57"/>
      <c r="AD841" s="122"/>
    </row>
    <row r="842" spans="1:30" ht="12.75" hidden="1" customHeight="1" x14ac:dyDescent="0.2">
      <c r="A842" s="121"/>
      <c r="D842" s="117"/>
      <c r="E842" s="117"/>
      <c r="I842" s="118"/>
      <c r="J842" s="13"/>
      <c r="K842" s="270"/>
      <c r="L842" s="57"/>
      <c r="M842" s="119"/>
      <c r="N842" s="57"/>
      <c r="O842" s="57"/>
      <c r="P842" s="57"/>
      <c r="Q842" s="57"/>
      <c r="R842" s="57"/>
      <c r="S842" s="119"/>
      <c r="T842" s="57"/>
      <c r="AD842" s="122"/>
    </row>
    <row r="843" spans="1:30" ht="12.75" hidden="1" customHeight="1" x14ac:dyDescent="0.2">
      <c r="A843" s="121"/>
      <c r="D843" s="117"/>
      <c r="E843" s="117"/>
      <c r="I843" s="118"/>
      <c r="J843" s="13"/>
      <c r="K843" s="270"/>
      <c r="L843" s="57"/>
      <c r="M843" s="119"/>
      <c r="N843" s="57"/>
      <c r="O843" s="57"/>
      <c r="P843" s="57"/>
      <c r="Q843" s="57"/>
      <c r="R843" s="57"/>
      <c r="S843" s="119"/>
      <c r="T843" s="57"/>
      <c r="AD843" s="122"/>
    </row>
    <row r="844" spans="1:30" ht="12.75" hidden="1" customHeight="1" x14ac:dyDescent="0.2">
      <c r="A844" s="121"/>
      <c r="D844" s="117"/>
      <c r="E844" s="117"/>
      <c r="I844" s="118"/>
      <c r="J844" s="13"/>
      <c r="K844" s="270"/>
      <c r="L844" s="57"/>
      <c r="M844" s="119"/>
      <c r="N844" s="57"/>
      <c r="O844" s="57"/>
      <c r="P844" s="57"/>
      <c r="Q844" s="57"/>
      <c r="R844" s="57"/>
      <c r="S844" s="119"/>
      <c r="T844" s="57"/>
      <c r="AD844" s="122"/>
    </row>
    <row r="845" spans="1:30" ht="12.75" hidden="1" customHeight="1" x14ac:dyDescent="0.2">
      <c r="A845" s="121"/>
      <c r="D845" s="117"/>
      <c r="E845" s="117"/>
      <c r="I845" s="118"/>
      <c r="J845" s="13"/>
      <c r="K845" s="270"/>
      <c r="L845" s="57"/>
      <c r="M845" s="119"/>
      <c r="N845" s="57"/>
      <c r="O845" s="57"/>
      <c r="P845" s="57"/>
      <c r="Q845" s="57"/>
      <c r="R845" s="57"/>
      <c r="S845" s="119"/>
      <c r="T845" s="57"/>
      <c r="AD845" s="122"/>
    </row>
    <row r="846" spans="1:30" ht="12.75" hidden="1" customHeight="1" x14ac:dyDescent="0.2">
      <c r="A846" s="121"/>
      <c r="D846" s="117"/>
      <c r="E846" s="117"/>
      <c r="I846" s="118"/>
      <c r="J846" s="13"/>
      <c r="K846" s="270"/>
      <c r="L846" s="57"/>
      <c r="M846" s="119"/>
      <c r="N846" s="57"/>
      <c r="O846" s="57"/>
      <c r="P846" s="57"/>
      <c r="Q846" s="57"/>
      <c r="R846" s="57"/>
      <c r="S846" s="119"/>
      <c r="T846" s="57"/>
      <c r="AD846" s="122"/>
    </row>
    <row r="847" spans="1:30" ht="12.75" hidden="1" customHeight="1" x14ac:dyDescent="0.2">
      <c r="A847" s="121"/>
      <c r="D847" s="117"/>
      <c r="E847" s="117"/>
      <c r="I847" s="118"/>
      <c r="J847" s="13"/>
      <c r="K847" s="270"/>
      <c r="L847" s="57"/>
      <c r="M847" s="119"/>
      <c r="N847" s="57"/>
      <c r="O847" s="57"/>
      <c r="P847" s="57"/>
      <c r="Q847" s="57"/>
      <c r="R847" s="57"/>
      <c r="S847" s="119"/>
      <c r="T847" s="57"/>
      <c r="AD847" s="122"/>
    </row>
    <row r="848" spans="1:30" ht="12.75" hidden="1" customHeight="1" x14ac:dyDescent="0.2">
      <c r="A848" s="121"/>
      <c r="D848" s="117"/>
      <c r="E848" s="117"/>
      <c r="I848" s="118"/>
      <c r="J848" s="13"/>
      <c r="K848" s="270"/>
      <c r="L848" s="57"/>
      <c r="M848" s="119"/>
      <c r="N848" s="57"/>
      <c r="O848" s="57"/>
      <c r="P848" s="57"/>
      <c r="Q848" s="57"/>
      <c r="R848" s="57"/>
      <c r="S848" s="119"/>
      <c r="T848" s="57"/>
      <c r="AD848" s="122"/>
    </row>
    <row r="849" spans="1:30" ht="12.75" hidden="1" customHeight="1" x14ac:dyDescent="0.2">
      <c r="A849" s="121"/>
      <c r="D849" s="117"/>
      <c r="E849" s="117"/>
      <c r="I849" s="118"/>
      <c r="J849" s="13"/>
      <c r="K849" s="270"/>
      <c r="L849" s="57"/>
      <c r="M849" s="119"/>
      <c r="N849" s="57"/>
      <c r="O849" s="57"/>
      <c r="P849" s="57"/>
      <c r="Q849" s="57"/>
      <c r="R849" s="57"/>
      <c r="S849" s="119"/>
      <c r="T849" s="57"/>
      <c r="AD849" s="122"/>
    </row>
    <row r="850" spans="1:30" ht="12.75" hidden="1" customHeight="1" x14ac:dyDescent="0.2">
      <c r="A850" s="121"/>
      <c r="D850" s="117"/>
      <c r="E850" s="117"/>
      <c r="I850" s="118"/>
      <c r="J850" s="13"/>
      <c r="K850" s="270"/>
      <c r="L850" s="57"/>
      <c r="M850" s="119"/>
      <c r="N850" s="57"/>
      <c r="O850" s="57"/>
      <c r="P850" s="57"/>
      <c r="Q850" s="57"/>
      <c r="R850" s="57"/>
      <c r="S850" s="119"/>
      <c r="T850" s="57"/>
      <c r="AD850" s="122"/>
    </row>
    <row r="851" spans="1:30" ht="12.75" hidden="1" customHeight="1" x14ac:dyDescent="0.2">
      <c r="A851" s="121"/>
      <c r="D851" s="117"/>
      <c r="E851" s="117"/>
      <c r="I851" s="118"/>
      <c r="J851" s="13"/>
      <c r="K851" s="270"/>
      <c r="L851" s="57"/>
      <c r="M851" s="119"/>
      <c r="N851" s="57"/>
      <c r="O851" s="57"/>
      <c r="P851" s="57"/>
      <c r="Q851" s="57"/>
      <c r="R851" s="57"/>
      <c r="S851" s="119"/>
      <c r="T851" s="57"/>
      <c r="AD851" s="122"/>
    </row>
    <row r="852" spans="1:30" ht="12.75" hidden="1" customHeight="1" x14ac:dyDescent="0.2">
      <c r="A852" s="121"/>
      <c r="D852" s="117"/>
      <c r="E852" s="117"/>
      <c r="I852" s="118"/>
      <c r="J852" s="13"/>
      <c r="K852" s="270"/>
      <c r="L852" s="57"/>
      <c r="M852" s="119"/>
      <c r="N852" s="57"/>
      <c r="O852" s="57"/>
      <c r="P852" s="57"/>
      <c r="Q852" s="57"/>
      <c r="R852" s="57"/>
      <c r="S852" s="119"/>
      <c r="T852" s="57"/>
      <c r="AD852" s="122"/>
    </row>
    <row r="853" spans="1:30" ht="12.75" hidden="1" customHeight="1" x14ac:dyDescent="0.2">
      <c r="A853" s="121"/>
      <c r="D853" s="117"/>
      <c r="E853" s="117"/>
      <c r="I853" s="118"/>
      <c r="J853" s="13"/>
      <c r="K853" s="270"/>
      <c r="L853" s="57"/>
      <c r="M853" s="119"/>
      <c r="N853" s="57"/>
      <c r="O853" s="57"/>
      <c r="P853" s="57"/>
      <c r="Q853" s="57"/>
      <c r="R853" s="57"/>
      <c r="S853" s="119"/>
      <c r="T853" s="57"/>
      <c r="AD853" s="122"/>
    </row>
    <row r="854" spans="1:30" ht="12.75" hidden="1" customHeight="1" x14ac:dyDescent="0.2">
      <c r="A854" s="121"/>
      <c r="D854" s="117"/>
      <c r="E854" s="117"/>
      <c r="I854" s="118"/>
      <c r="J854" s="13"/>
      <c r="K854" s="270"/>
      <c r="L854" s="57"/>
      <c r="M854" s="119"/>
      <c r="N854" s="57"/>
      <c r="O854" s="57"/>
      <c r="P854" s="57"/>
      <c r="Q854" s="57"/>
      <c r="R854" s="57"/>
      <c r="S854" s="119"/>
      <c r="T854" s="57"/>
      <c r="AD854" s="122"/>
    </row>
    <row r="855" spans="1:30" ht="12.75" hidden="1" customHeight="1" x14ac:dyDescent="0.2">
      <c r="A855" s="121"/>
      <c r="D855" s="117"/>
      <c r="E855" s="117"/>
      <c r="I855" s="118"/>
      <c r="J855" s="13"/>
      <c r="K855" s="270"/>
      <c r="L855" s="57"/>
      <c r="M855" s="119"/>
      <c r="N855" s="57"/>
      <c r="O855" s="57"/>
      <c r="P855" s="57"/>
      <c r="Q855" s="57"/>
      <c r="R855" s="57"/>
      <c r="S855" s="119"/>
      <c r="T855" s="57"/>
      <c r="AD855" s="122"/>
    </row>
    <row r="856" spans="1:30" ht="12.75" hidden="1" customHeight="1" x14ac:dyDescent="0.2">
      <c r="A856" s="121"/>
      <c r="D856" s="117"/>
      <c r="E856" s="117"/>
      <c r="I856" s="118"/>
      <c r="J856" s="13"/>
      <c r="K856" s="270"/>
      <c r="L856" s="57"/>
      <c r="M856" s="119"/>
      <c r="N856" s="57"/>
      <c r="O856" s="57"/>
      <c r="P856" s="57"/>
      <c r="Q856" s="57"/>
      <c r="R856" s="57"/>
      <c r="S856" s="119"/>
      <c r="T856" s="57"/>
      <c r="AD856" s="122"/>
    </row>
    <row r="857" spans="1:30" ht="12.75" hidden="1" customHeight="1" x14ac:dyDescent="0.2">
      <c r="A857" s="121"/>
      <c r="D857" s="117"/>
      <c r="E857" s="117"/>
      <c r="I857" s="118"/>
      <c r="J857" s="13"/>
      <c r="K857" s="270"/>
      <c r="L857" s="57"/>
      <c r="M857" s="119"/>
      <c r="N857" s="57"/>
      <c r="O857" s="57"/>
      <c r="P857" s="57"/>
      <c r="Q857" s="57"/>
      <c r="R857" s="57"/>
      <c r="S857" s="119"/>
      <c r="T857" s="57"/>
      <c r="AD857" s="122"/>
    </row>
    <row r="858" spans="1:30" ht="12.75" hidden="1" customHeight="1" x14ac:dyDescent="0.2">
      <c r="A858" s="121"/>
      <c r="D858" s="117"/>
      <c r="E858" s="117"/>
      <c r="I858" s="118"/>
      <c r="J858" s="13"/>
      <c r="K858" s="270"/>
      <c r="L858" s="57"/>
      <c r="M858" s="119"/>
      <c r="N858" s="57"/>
      <c r="O858" s="57"/>
      <c r="P858" s="57"/>
      <c r="Q858" s="57"/>
      <c r="R858" s="57"/>
      <c r="S858" s="119"/>
      <c r="T858" s="57"/>
      <c r="AD858" s="122"/>
    </row>
    <row r="859" spans="1:30" ht="12.75" hidden="1" customHeight="1" x14ac:dyDescent="0.2">
      <c r="A859" s="121"/>
      <c r="D859" s="117"/>
      <c r="E859" s="117"/>
      <c r="I859" s="118"/>
      <c r="J859" s="13"/>
      <c r="K859" s="270"/>
      <c r="L859" s="57"/>
      <c r="M859" s="119"/>
      <c r="N859" s="57"/>
      <c r="O859" s="57"/>
      <c r="P859" s="57"/>
      <c r="Q859" s="57"/>
      <c r="R859" s="57"/>
      <c r="S859" s="119"/>
      <c r="T859" s="57"/>
      <c r="AD859" s="122"/>
    </row>
    <row r="860" spans="1:30" ht="12.75" hidden="1" customHeight="1" x14ac:dyDescent="0.2">
      <c r="A860" s="121"/>
      <c r="D860" s="117"/>
      <c r="E860" s="117"/>
      <c r="I860" s="118"/>
      <c r="J860" s="13"/>
      <c r="K860" s="270"/>
      <c r="L860" s="57"/>
      <c r="M860" s="119"/>
      <c r="N860" s="57"/>
      <c r="O860" s="57"/>
      <c r="P860" s="57"/>
      <c r="Q860" s="57"/>
      <c r="R860" s="57"/>
      <c r="S860" s="119"/>
      <c r="T860" s="57"/>
      <c r="AD860" s="122"/>
    </row>
    <row r="861" spans="1:30" ht="12.75" hidden="1" customHeight="1" x14ac:dyDescent="0.2">
      <c r="A861" s="121"/>
      <c r="D861" s="117"/>
      <c r="E861" s="117"/>
      <c r="I861" s="118"/>
      <c r="J861" s="13"/>
      <c r="K861" s="270"/>
      <c r="L861" s="57"/>
      <c r="M861" s="119"/>
      <c r="N861" s="57"/>
      <c r="O861" s="57"/>
      <c r="P861" s="57"/>
      <c r="Q861" s="57"/>
      <c r="R861" s="57"/>
      <c r="S861" s="119"/>
      <c r="T861" s="57"/>
      <c r="AD861" s="122"/>
    </row>
    <row r="862" spans="1:30" ht="12.75" hidden="1" customHeight="1" x14ac:dyDescent="0.2">
      <c r="A862" s="121"/>
      <c r="D862" s="117"/>
      <c r="E862" s="117"/>
      <c r="I862" s="118"/>
      <c r="J862" s="13"/>
      <c r="K862" s="270"/>
      <c r="L862" s="57"/>
      <c r="M862" s="119"/>
      <c r="N862" s="57"/>
      <c r="O862" s="57"/>
      <c r="P862" s="57"/>
      <c r="Q862" s="57"/>
      <c r="R862" s="57"/>
      <c r="S862" s="119"/>
      <c r="T862" s="57"/>
      <c r="AD862" s="122"/>
    </row>
    <row r="863" spans="1:30" ht="12.75" hidden="1" customHeight="1" x14ac:dyDescent="0.2">
      <c r="A863" s="121"/>
      <c r="D863" s="117"/>
      <c r="E863" s="117"/>
      <c r="I863" s="118"/>
      <c r="J863" s="13"/>
      <c r="K863" s="270"/>
      <c r="L863" s="57"/>
      <c r="M863" s="119"/>
      <c r="N863" s="57"/>
      <c r="O863" s="57"/>
      <c r="P863" s="57"/>
      <c r="Q863" s="57"/>
      <c r="R863" s="57"/>
      <c r="S863" s="119"/>
      <c r="T863" s="57"/>
      <c r="AD863" s="122"/>
    </row>
    <row r="864" spans="1:30" ht="12.75" hidden="1" customHeight="1" x14ac:dyDescent="0.2">
      <c r="A864" s="121"/>
      <c r="D864" s="117"/>
      <c r="E864" s="117"/>
      <c r="I864" s="118"/>
      <c r="J864" s="13"/>
      <c r="K864" s="270"/>
      <c r="L864" s="57"/>
      <c r="M864" s="119"/>
      <c r="N864" s="57"/>
      <c r="O864" s="57"/>
      <c r="P864" s="57"/>
      <c r="Q864" s="57"/>
      <c r="R864" s="57"/>
      <c r="S864" s="119"/>
      <c r="T864" s="57"/>
      <c r="AD864" s="122"/>
    </row>
    <row r="865" spans="1:30" ht="12.75" hidden="1" customHeight="1" x14ac:dyDescent="0.2">
      <c r="A865" s="121"/>
      <c r="D865" s="117"/>
      <c r="E865" s="117"/>
      <c r="I865" s="118"/>
      <c r="J865" s="13"/>
      <c r="K865" s="270"/>
      <c r="L865" s="57"/>
      <c r="M865" s="119"/>
      <c r="N865" s="57"/>
      <c r="O865" s="57"/>
      <c r="P865" s="57"/>
      <c r="Q865" s="57"/>
      <c r="R865" s="57"/>
      <c r="S865" s="119"/>
      <c r="T865" s="57"/>
      <c r="AD865" s="122"/>
    </row>
    <row r="866" spans="1:30" ht="12.75" hidden="1" customHeight="1" x14ac:dyDescent="0.2">
      <c r="A866" s="121"/>
      <c r="D866" s="117"/>
      <c r="E866" s="117"/>
      <c r="I866" s="118"/>
      <c r="J866" s="13"/>
      <c r="K866" s="270"/>
      <c r="L866" s="57"/>
      <c r="M866" s="119"/>
      <c r="N866" s="57"/>
      <c r="O866" s="57"/>
      <c r="P866" s="57"/>
      <c r="Q866" s="57"/>
      <c r="R866" s="57"/>
      <c r="S866" s="119"/>
      <c r="T866" s="57"/>
      <c r="AD866" s="122"/>
    </row>
    <row r="867" spans="1:30" ht="12.75" hidden="1" customHeight="1" x14ac:dyDescent="0.2">
      <c r="A867" s="121"/>
      <c r="D867" s="117"/>
      <c r="E867" s="117"/>
      <c r="I867" s="118"/>
      <c r="J867" s="13"/>
      <c r="K867" s="270"/>
      <c r="L867" s="57"/>
      <c r="M867" s="119"/>
      <c r="N867" s="57"/>
      <c r="O867" s="57"/>
      <c r="P867" s="57"/>
      <c r="Q867" s="57"/>
      <c r="R867" s="57"/>
      <c r="S867" s="119"/>
      <c r="T867" s="57"/>
      <c r="AD867" s="122"/>
    </row>
    <row r="868" spans="1:30" ht="12.75" hidden="1" customHeight="1" x14ac:dyDescent="0.2">
      <c r="A868" s="121"/>
      <c r="D868" s="117"/>
      <c r="E868" s="117"/>
      <c r="I868" s="118"/>
      <c r="J868" s="13"/>
      <c r="K868" s="270"/>
      <c r="L868" s="57"/>
      <c r="M868" s="119"/>
      <c r="N868" s="57"/>
      <c r="O868" s="57"/>
      <c r="P868" s="57"/>
      <c r="Q868" s="57"/>
      <c r="R868" s="57"/>
      <c r="S868" s="119"/>
      <c r="T868" s="57"/>
      <c r="AD868" s="122"/>
    </row>
    <row r="869" spans="1:30" ht="12.75" hidden="1" customHeight="1" x14ac:dyDescent="0.2">
      <c r="A869" s="121"/>
      <c r="D869" s="117"/>
      <c r="E869" s="117"/>
      <c r="I869" s="118"/>
      <c r="J869" s="13"/>
      <c r="K869" s="270"/>
      <c r="L869" s="57"/>
      <c r="M869" s="119"/>
      <c r="N869" s="57"/>
      <c r="O869" s="57"/>
      <c r="P869" s="57"/>
      <c r="Q869" s="57"/>
      <c r="R869" s="57"/>
      <c r="S869" s="119"/>
      <c r="T869" s="57"/>
      <c r="AD869" s="122"/>
    </row>
    <row r="870" spans="1:30" ht="12.75" hidden="1" customHeight="1" x14ac:dyDescent="0.2">
      <c r="A870" s="121"/>
      <c r="D870" s="117"/>
      <c r="E870" s="117"/>
      <c r="I870" s="118"/>
      <c r="J870" s="13"/>
      <c r="K870" s="270"/>
      <c r="L870" s="57"/>
      <c r="M870" s="119"/>
      <c r="N870" s="57"/>
      <c r="O870" s="57"/>
      <c r="P870" s="57"/>
      <c r="Q870" s="57"/>
      <c r="R870" s="57"/>
      <c r="S870" s="119"/>
      <c r="T870" s="57"/>
      <c r="AD870" s="122"/>
    </row>
    <row r="871" spans="1:30" ht="12.75" hidden="1" customHeight="1" x14ac:dyDescent="0.2">
      <c r="A871" s="121"/>
      <c r="D871" s="117"/>
      <c r="E871" s="117"/>
      <c r="I871" s="118"/>
      <c r="J871" s="13"/>
      <c r="K871" s="270"/>
      <c r="L871" s="57"/>
      <c r="M871" s="119"/>
      <c r="N871" s="57"/>
      <c r="O871" s="57"/>
      <c r="P871" s="57"/>
      <c r="Q871" s="57"/>
      <c r="R871" s="57"/>
      <c r="S871" s="119"/>
      <c r="T871" s="57"/>
      <c r="AD871" s="122"/>
    </row>
    <row r="872" spans="1:30" ht="12.75" hidden="1" customHeight="1" x14ac:dyDescent="0.2">
      <c r="A872" s="121"/>
      <c r="D872" s="117"/>
      <c r="E872" s="117"/>
      <c r="I872" s="118"/>
      <c r="J872" s="13"/>
      <c r="K872" s="270"/>
      <c r="L872" s="57"/>
      <c r="M872" s="119"/>
      <c r="N872" s="57"/>
      <c r="O872" s="57"/>
      <c r="P872" s="57"/>
      <c r="Q872" s="57"/>
      <c r="R872" s="57"/>
      <c r="S872" s="119"/>
      <c r="T872" s="57"/>
      <c r="AD872" s="122"/>
    </row>
    <row r="873" spans="1:30" ht="12.75" hidden="1" customHeight="1" x14ac:dyDescent="0.2">
      <c r="A873" s="121"/>
      <c r="D873" s="117"/>
      <c r="E873" s="117"/>
      <c r="I873" s="118"/>
      <c r="J873" s="13"/>
      <c r="K873" s="270"/>
      <c r="L873" s="57"/>
      <c r="M873" s="119"/>
      <c r="N873" s="57"/>
      <c r="O873" s="57"/>
      <c r="P873" s="57"/>
      <c r="Q873" s="57"/>
      <c r="R873" s="57"/>
      <c r="S873" s="119"/>
      <c r="T873" s="57"/>
      <c r="AD873" s="122"/>
    </row>
    <row r="874" spans="1:30" ht="12.75" hidden="1" customHeight="1" x14ac:dyDescent="0.2">
      <c r="A874" s="121"/>
      <c r="D874" s="117"/>
      <c r="E874" s="117"/>
      <c r="I874" s="118"/>
      <c r="J874" s="13"/>
      <c r="K874" s="270"/>
      <c r="L874" s="57"/>
      <c r="M874" s="119"/>
      <c r="N874" s="57"/>
      <c r="O874" s="57"/>
      <c r="P874" s="57"/>
      <c r="Q874" s="57"/>
      <c r="R874" s="57"/>
      <c r="S874" s="119"/>
      <c r="T874" s="57"/>
      <c r="AD874" s="122"/>
    </row>
    <row r="875" spans="1:30" ht="12.75" hidden="1" customHeight="1" x14ac:dyDescent="0.2">
      <c r="A875" s="121"/>
      <c r="D875" s="117"/>
      <c r="E875" s="117"/>
      <c r="I875" s="118"/>
      <c r="J875" s="13"/>
      <c r="K875" s="270"/>
      <c r="L875" s="57"/>
      <c r="M875" s="119"/>
      <c r="N875" s="57"/>
      <c r="O875" s="57"/>
      <c r="P875" s="57"/>
      <c r="Q875" s="57"/>
      <c r="R875" s="57"/>
      <c r="S875" s="119"/>
      <c r="T875" s="57"/>
      <c r="AD875" s="122"/>
    </row>
    <row r="876" spans="1:30" ht="12.75" hidden="1" customHeight="1" x14ac:dyDescent="0.2">
      <c r="A876" s="121"/>
      <c r="D876" s="117"/>
      <c r="E876" s="117"/>
      <c r="I876" s="118"/>
      <c r="J876" s="13"/>
      <c r="K876" s="270"/>
      <c r="L876" s="57"/>
      <c r="M876" s="119"/>
      <c r="N876" s="57"/>
      <c r="O876" s="57"/>
      <c r="P876" s="57"/>
      <c r="Q876" s="57"/>
      <c r="R876" s="57"/>
      <c r="S876" s="119"/>
      <c r="T876" s="57"/>
      <c r="AD876" s="122"/>
    </row>
    <row r="877" spans="1:30" ht="12.75" hidden="1" customHeight="1" x14ac:dyDescent="0.2">
      <c r="A877" s="121"/>
      <c r="D877" s="117"/>
      <c r="E877" s="117"/>
      <c r="I877" s="118"/>
      <c r="J877" s="13"/>
      <c r="K877" s="270"/>
      <c r="L877" s="57"/>
      <c r="M877" s="119"/>
      <c r="N877" s="57"/>
      <c r="O877" s="57"/>
      <c r="P877" s="57"/>
      <c r="Q877" s="57"/>
      <c r="R877" s="57"/>
      <c r="S877" s="119"/>
      <c r="T877" s="57"/>
      <c r="AD877" s="122"/>
    </row>
    <row r="878" spans="1:30" ht="12.75" hidden="1" customHeight="1" x14ac:dyDescent="0.2">
      <c r="A878" s="121"/>
      <c r="D878" s="117"/>
      <c r="E878" s="117"/>
      <c r="I878" s="118"/>
      <c r="J878" s="13"/>
      <c r="K878" s="270"/>
      <c r="L878" s="57"/>
      <c r="M878" s="119"/>
      <c r="N878" s="57"/>
      <c r="O878" s="57"/>
      <c r="P878" s="57"/>
      <c r="Q878" s="57"/>
      <c r="R878" s="57"/>
      <c r="S878" s="119"/>
      <c r="T878" s="57"/>
      <c r="AD878" s="122"/>
    </row>
    <row r="879" spans="1:30" ht="12.75" hidden="1" customHeight="1" x14ac:dyDescent="0.2">
      <c r="A879" s="121"/>
      <c r="D879" s="117"/>
      <c r="E879" s="117"/>
      <c r="I879" s="118"/>
      <c r="J879" s="13"/>
      <c r="K879" s="270"/>
      <c r="L879" s="57"/>
      <c r="M879" s="119"/>
      <c r="N879" s="57"/>
      <c r="O879" s="57"/>
      <c r="P879" s="57"/>
      <c r="Q879" s="57"/>
      <c r="R879" s="57"/>
      <c r="S879" s="119"/>
      <c r="T879" s="57"/>
      <c r="AD879" s="122"/>
    </row>
    <row r="880" spans="1:30" ht="12.75" hidden="1" customHeight="1" x14ac:dyDescent="0.2">
      <c r="A880" s="121"/>
      <c r="D880" s="117"/>
      <c r="E880" s="117"/>
      <c r="I880" s="118"/>
      <c r="J880" s="13"/>
      <c r="K880" s="270"/>
      <c r="L880" s="57"/>
      <c r="M880" s="119"/>
      <c r="N880" s="57"/>
      <c r="O880" s="57"/>
      <c r="P880" s="57"/>
      <c r="Q880" s="57"/>
      <c r="R880" s="57"/>
      <c r="S880" s="119"/>
      <c r="T880" s="57"/>
      <c r="AD880" s="122"/>
    </row>
    <row r="881" spans="1:30" ht="12.75" hidden="1" customHeight="1" x14ac:dyDescent="0.2">
      <c r="A881" s="121"/>
      <c r="D881" s="117"/>
      <c r="E881" s="117"/>
      <c r="I881" s="118"/>
      <c r="J881" s="13"/>
      <c r="K881" s="270"/>
      <c r="L881" s="57"/>
      <c r="M881" s="119"/>
      <c r="N881" s="57"/>
      <c r="O881" s="57"/>
      <c r="P881" s="57"/>
      <c r="Q881" s="57"/>
      <c r="R881" s="57"/>
      <c r="S881" s="119"/>
      <c r="T881" s="57"/>
      <c r="AD881" s="122"/>
    </row>
    <row r="882" spans="1:30" ht="12.75" hidden="1" customHeight="1" x14ac:dyDescent="0.2">
      <c r="A882" s="121"/>
      <c r="D882" s="117"/>
      <c r="E882" s="117"/>
      <c r="I882" s="118"/>
      <c r="J882" s="13"/>
      <c r="K882" s="270"/>
      <c r="L882" s="57"/>
      <c r="M882" s="119"/>
      <c r="N882" s="57"/>
      <c r="O882" s="57"/>
      <c r="P882" s="57"/>
      <c r="Q882" s="57"/>
      <c r="R882" s="57"/>
      <c r="S882" s="119"/>
      <c r="T882" s="57"/>
      <c r="AD882" s="122"/>
    </row>
    <row r="883" spans="1:30" ht="12.75" hidden="1" customHeight="1" x14ac:dyDescent="0.2">
      <c r="A883" s="121"/>
      <c r="D883" s="117"/>
      <c r="E883" s="117"/>
      <c r="I883" s="118"/>
      <c r="J883" s="13"/>
      <c r="K883" s="270"/>
      <c r="L883" s="57"/>
      <c r="M883" s="119"/>
      <c r="N883" s="57"/>
      <c r="O883" s="57"/>
      <c r="P883" s="57"/>
      <c r="Q883" s="57"/>
      <c r="R883" s="57"/>
      <c r="S883" s="119"/>
      <c r="T883" s="57"/>
      <c r="AD883" s="122"/>
    </row>
    <row r="884" spans="1:30" ht="12.75" hidden="1" customHeight="1" x14ac:dyDescent="0.2">
      <c r="A884" s="121"/>
      <c r="D884" s="117"/>
      <c r="E884" s="117"/>
      <c r="I884" s="118"/>
      <c r="J884" s="13"/>
      <c r="K884" s="270"/>
      <c r="L884" s="57"/>
      <c r="M884" s="119"/>
      <c r="N884" s="57"/>
      <c r="O884" s="57"/>
      <c r="P884" s="57"/>
      <c r="Q884" s="57"/>
      <c r="R884" s="57"/>
      <c r="S884" s="119"/>
      <c r="T884" s="57"/>
      <c r="AD884" s="122"/>
    </row>
    <row r="885" spans="1:30" ht="12.75" hidden="1" customHeight="1" x14ac:dyDescent="0.2">
      <c r="A885" s="121"/>
      <c r="D885" s="117"/>
      <c r="E885" s="117"/>
      <c r="I885" s="118"/>
      <c r="J885" s="13"/>
      <c r="K885" s="270"/>
      <c r="L885" s="57"/>
      <c r="M885" s="119"/>
      <c r="N885" s="57"/>
      <c r="O885" s="57"/>
      <c r="P885" s="57"/>
      <c r="Q885" s="57"/>
      <c r="R885" s="57"/>
      <c r="S885" s="119"/>
      <c r="T885" s="57"/>
      <c r="AD885" s="122"/>
    </row>
    <row r="886" spans="1:30" ht="12.75" hidden="1" customHeight="1" x14ac:dyDescent="0.2">
      <c r="A886" s="121"/>
      <c r="D886" s="117"/>
      <c r="E886" s="117"/>
      <c r="I886" s="118"/>
      <c r="J886" s="13"/>
      <c r="K886" s="270"/>
      <c r="L886" s="57"/>
      <c r="M886" s="119"/>
      <c r="N886" s="57"/>
      <c r="O886" s="57"/>
      <c r="P886" s="57"/>
      <c r="Q886" s="57"/>
      <c r="R886" s="57"/>
      <c r="S886" s="119"/>
      <c r="T886" s="57"/>
      <c r="AD886" s="122"/>
    </row>
    <row r="887" spans="1:30" ht="12.75" hidden="1" customHeight="1" x14ac:dyDescent="0.2">
      <c r="A887" s="121"/>
      <c r="D887" s="117"/>
      <c r="E887" s="117"/>
      <c r="I887" s="118"/>
      <c r="J887" s="13"/>
      <c r="K887" s="270"/>
      <c r="L887" s="57"/>
      <c r="M887" s="119"/>
      <c r="N887" s="57"/>
      <c r="O887" s="57"/>
      <c r="P887" s="57"/>
      <c r="Q887" s="57"/>
      <c r="R887" s="57"/>
      <c r="S887" s="119"/>
      <c r="T887" s="57"/>
      <c r="AD887" s="122"/>
    </row>
    <row r="888" spans="1:30" ht="12.75" hidden="1" customHeight="1" x14ac:dyDescent="0.2">
      <c r="A888" s="121"/>
      <c r="D888" s="117"/>
      <c r="E888" s="117"/>
      <c r="I888" s="118"/>
      <c r="J888" s="13"/>
      <c r="K888" s="270"/>
      <c r="L888" s="57"/>
      <c r="M888" s="119"/>
      <c r="N888" s="57"/>
      <c r="O888" s="57"/>
      <c r="P888" s="57"/>
      <c r="Q888" s="57"/>
      <c r="R888" s="57"/>
      <c r="S888" s="119"/>
      <c r="T888" s="57"/>
      <c r="AD888" s="122"/>
    </row>
    <row r="889" spans="1:30" ht="12.75" hidden="1" customHeight="1" x14ac:dyDescent="0.2">
      <c r="A889" s="121"/>
      <c r="D889" s="117"/>
      <c r="E889" s="117"/>
      <c r="I889" s="118"/>
      <c r="J889" s="13"/>
      <c r="K889" s="270"/>
      <c r="L889" s="57"/>
      <c r="M889" s="119"/>
      <c r="N889" s="57"/>
      <c r="O889" s="57"/>
      <c r="P889" s="57"/>
      <c r="Q889" s="57"/>
      <c r="R889" s="57"/>
      <c r="S889" s="119"/>
      <c r="T889" s="57"/>
      <c r="AD889" s="122"/>
    </row>
    <row r="890" spans="1:30" ht="12.75" hidden="1" customHeight="1" x14ac:dyDescent="0.2">
      <c r="A890" s="121"/>
      <c r="D890" s="117"/>
      <c r="E890" s="117"/>
      <c r="I890" s="118"/>
      <c r="J890" s="13"/>
      <c r="K890" s="270"/>
      <c r="L890" s="57"/>
      <c r="M890" s="119"/>
      <c r="N890" s="57"/>
      <c r="O890" s="57"/>
      <c r="P890" s="57"/>
      <c r="Q890" s="57"/>
      <c r="R890" s="57"/>
      <c r="S890" s="119"/>
      <c r="T890" s="57"/>
      <c r="AD890" s="122"/>
    </row>
    <row r="891" spans="1:30" ht="12.75" hidden="1" customHeight="1" x14ac:dyDescent="0.2">
      <c r="A891" s="121"/>
      <c r="D891" s="117"/>
      <c r="E891" s="117"/>
      <c r="I891" s="118"/>
      <c r="J891" s="13"/>
      <c r="K891" s="270"/>
      <c r="L891" s="57"/>
      <c r="M891" s="119"/>
      <c r="N891" s="57"/>
      <c r="O891" s="57"/>
      <c r="P891" s="57"/>
      <c r="Q891" s="57"/>
      <c r="R891" s="57"/>
      <c r="S891" s="119"/>
      <c r="T891" s="57"/>
      <c r="AD891" s="122"/>
    </row>
    <row r="892" spans="1:30" ht="12.75" hidden="1" customHeight="1" x14ac:dyDescent="0.2">
      <c r="A892" s="121"/>
      <c r="D892" s="117"/>
      <c r="E892" s="117"/>
      <c r="I892" s="118"/>
      <c r="J892" s="13"/>
      <c r="K892" s="270"/>
      <c r="L892" s="57"/>
      <c r="M892" s="119"/>
      <c r="N892" s="57"/>
      <c r="O892" s="57"/>
      <c r="P892" s="57"/>
      <c r="Q892" s="57"/>
      <c r="R892" s="57"/>
      <c r="S892" s="119"/>
      <c r="T892" s="57"/>
      <c r="AD892" s="122"/>
    </row>
    <row r="893" spans="1:30" ht="12.75" hidden="1" customHeight="1" x14ac:dyDescent="0.2">
      <c r="A893" s="121"/>
      <c r="D893" s="117"/>
      <c r="E893" s="117"/>
      <c r="I893" s="118"/>
      <c r="J893" s="13"/>
      <c r="K893" s="270"/>
      <c r="L893" s="57"/>
      <c r="M893" s="119"/>
      <c r="N893" s="57"/>
      <c r="O893" s="57"/>
      <c r="P893" s="57"/>
      <c r="Q893" s="57"/>
      <c r="R893" s="57"/>
      <c r="S893" s="119"/>
      <c r="T893" s="57"/>
      <c r="AD893" s="122"/>
    </row>
    <row r="894" spans="1:30" ht="12.75" hidden="1" customHeight="1" x14ac:dyDescent="0.2">
      <c r="A894" s="121"/>
      <c r="D894" s="117"/>
      <c r="E894" s="117"/>
      <c r="I894" s="118"/>
      <c r="J894" s="13"/>
      <c r="K894" s="270"/>
      <c r="L894" s="57"/>
      <c r="M894" s="119"/>
      <c r="N894" s="57"/>
      <c r="O894" s="57"/>
      <c r="P894" s="57"/>
      <c r="Q894" s="57"/>
      <c r="R894" s="57"/>
      <c r="S894" s="119"/>
      <c r="T894" s="57"/>
      <c r="AD894" s="122"/>
    </row>
    <row r="895" spans="1:30" ht="12.75" hidden="1" customHeight="1" x14ac:dyDescent="0.2">
      <c r="A895" s="121"/>
      <c r="D895" s="117"/>
      <c r="E895" s="117"/>
      <c r="I895" s="118"/>
      <c r="J895" s="13"/>
      <c r="K895" s="270"/>
      <c r="L895" s="57"/>
      <c r="M895" s="119"/>
      <c r="N895" s="57"/>
      <c r="O895" s="57"/>
      <c r="P895" s="57"/>
      <c r="Q895" s="57"/>
      <c r="R895" s="57"/>
      <c r="S895" s="119"/>
      <c r="T895" s="57"/>
      <c r="AD895" s="122"/>
    </row>
    <row r="896" spans="1:30" ht="12.75" hidden="1" customHeight="1" x14ac:dyDescent="0.2">
      <c r="A896" s="121"/>
      <c r="D896" s="117"/>
      <c r="E896" s="117"/>
      <c r="I896" s="118"/>
      <c r="J896" s="13"/>
      <c r="K896" s="270"/>
      <c r="L896" s="57"/>
      <c r="M896" s="119"/>
      <c r="N896" s="57"/>
      <c r="O896" s="57"/>
      <c r="P896" s="57"/>
      <c r="Q896" s="57"/>
      <c r="R896" s="57"/>
      <c r="S896" s="119"/>
      <c r="T896" s="57"/>
      <c r="AD896" s="122"/>
    </row>
    <row r="897" spans="1:30" ht="12.75" hidden="1" customHeight="1" x14ac:dyDescent="0.2">
      <c r="A897" s="121"/>
      <c r="D897" s="117"/>
      <c r="E897" s="117"/>
      <c r="I897" s="118"/>
      <c r="J897" s="13"/>
      <c r="K897" s="270"/>
      <c r="L897" s="57"/>
      <c r="M897" s="119"/>
      <c r="N897" s="57"/>
      <c r="O897" s="57"/>
      <c r="P897" s="57"/>
      <c r="Q897" s="57"/>
      <c r="R897" s="57"/>
      <c r="S897" s="119"/>
      <c r="T897" s="57"/>
      <c r="AD897" s="122"/>
    </row>
    <row r="898" spans="1:30" ht="12.75" hidden="1" customHeight="1" x14ac:dyDescent="0.2">
      <c r="A898" s="121"/>
      <c r="D898" s="117"/>
      <c r="E898" s="117"/>
      <c r="I898" s="118"/>
      <c r="J898" s="13"/>
      <c r="K898" s="270"/>
      <c r="L898" s="57"/>
      <c r="M898" s="119"/>
      <c r="N898" s="57"/>
      <c r="O898" s="57"/>
      <c r="P898" s="57"/>
      <c r="Q898" s="57"/>
      <c r="R898" s="57"/>
      <c r="S898" s="119"/>
      <c r="T898" s="57"/>
      <c r="AD898" s="122"/>
    </row>
    <row r="899" spans="1:30" ht="12.75" hidden="1" customHeight="1" x14ac:dyDescent="0.2">
      <c r="A899" s="121"/>
      <c r="D899" s="117"/>
      <c r="E899" s="117"/>
      <c r="I899" s="118"/>
      <c r="J899" s="13"/>
      <c r="K899" s="270"/>
      <c r="L899" s="57"/>
      <c r="M899" s="119"/>
      <c r="N899" s="57"/>
      <c r="O899" s="57"/>
      <c r="P899" s="57"/>
      <c r="Q899" s="57"/>
      <c r="R899" s="57"/>
      <c r="S899" s="119"/>
      <c r="T899" s="57"/>
      <c r="AD899" s="122"/>
    </row>
    <row r="900" spans="1:30" ht="12.75" hidden="1" customHeight="1" x14ac:dyDescent="0.2">
      <c r="A900" s="121"/>
      <c r="D900" s="117"/>
      <c r="E900" s="117"/>
      <c r="I900" s="118"/>
      <c r="J900" s="13"/>
      <c r="K900" s="270"/>
      <c r="L900" s="57"/>
      <c r="M900" s="119"/>
      <c r="N900" s="57"/>
      <c r="O900" s="57"/>
      <c r="P900" s="57"/>
      <c r="Q900" s="57"/>
      <c r="R900" s="57"/>
      <c r="S900" s="119"/>
      <c r="T900" s="57"/>
      <c r="AD900" s="122"/>
    </row>
    <row r="901" spans="1:30" ht="12.75" hidden="1" customHeight="1" x14ac:dyDescent="0.2">
      <c r="A901" s="121"/>
      <c r="D901" s="117"/>
      <c r="E901" s="117"/>
      <c r="I901" s="118"/>
      <c r="J901" s="13"/>
      <c r="K901" s="270"/>
      <c r="L901" s="57"/>
      <c r="M901" s="119"/>
      <c r="N901" s="57"/>
      <c r="O901" s="57"/>
      <c r="P901" s="57"/>
      <c r="Q901" s="57"/>
      <c r="R901" s="57"/>
      <c r="S901" s="119"/>
      <c r="T901" s="57"/>
      <c r="AD901" s="122"/>
    </row>
    <row r="902" spans="1:30" ht="12.75" hidden="1" customHeight="1" x14ac:dyDescent="0.2">
      <c r="A902" s="121"/>
      <c r="D902" s="117"/>
      <c r="E902" s="117"/>
      <c r="I902" s="118"/>
      <c r="J902" s="13"/>
      <c r="K902" s="270"/>
      <c r="L902" s="57"/>
      <c r="M902" s="119"/>
      <c r="N902" s="57"/>
      <c r="O902" s="57"/>
      <c r="P902" s="57"/>
      <c r="Q902" s="57"/>
      <c r="R902" s="57"/>
      <c r="S902" s="119"/>
      <c r="T902" s="57"/>
      <c r="AD902" s="122"/>
    </row>
    <row r="903" spans="1:30" ht="12.75" hidden="1" customHeight="1" x14ac:dyDescent="0.2">
      <c r="A903" s="121"/>
      <c r="D903" s="117"/>
      <c r="E903" s="117"/>
      <c r="I903" s="118"/>
      <c r="J903" s="13"/>
      <c r="K903" s="270"/>
      <c r="L903" s="57"/>
      <c r="M903" s="119"/>
      <c r="N903" s="57"/>
      <c r="O903" s="57"/>
      <c r="P903" s="57"/>
      <c r="Q903" s="57"/>
      <c r="R903" s="57"/>
      <c r="S903" s="119"/>
      <c r="T903" s="57"/>
      <c r="AD903" s="122"/>
    </row>
    <row r="904" spans="1:30" ht="12.75" hidden="1" customHeight="1" x14ac:dyDescent="0.2">
      <c r="A904" s="121"/>
      <c r="D904" s="117"/>
      <c r="E904" s="117"/>
      <c r="I904" s="118"/>
      <c r="J904" s="13"/>
      <c r="K904" s="270"/>
      <c r="L904" s="57"/>
      <c r="M904" s="119"/>
      <c r="N904" s="57"/>
      <c r="O904" s="57"/>
      <c r="P904" s="57"/>
      <c r="Q904" s="57"/>
      <c r="R904" s="57"/>
      <c r="S904" s="119"/>
      <c r="T904" s="57"/>
      <c r="AD904" s="122"/>
    </row>
    <row r="905" spans="1:30" ht="12.75" hidden="1" customHeight="1" x14ac:dyDescent="0.2">
      <c r="A905" s="121"/>
      <c r="D905" s="117"/>
      <c r="E905" s="117"/>
      <c r="I905" s="118"/>
      <c r="J905" s="13"/>
      <c r="K905" s="270"/>
      <c r="L905" s="57"/>
      <c r="M905" s="119"/>
      <c r="N905" s="57"/>
      <c r="O905" s="57"/>
      <c r="P905" s="57"/>
      <c r="Q905" s="57"/>
      <c r="R905" s="57"/>
      <c r="S905" s="119"/>
      <c r="T905" s="57"/>
      <c r="AD905" s="122"/>
    </row>
    <row r="906" spans="1:30" ht="12.75" hidden="1" customHeight="1" x14ac:dyDescent="0.2">
      <c r="A906" s="121"/>
      <c r="D906" s="117"/>
      <c r="E906" s="117"/>
      <c r="I906" s="118"/>
      <c r="J906" s="13"/>
      <c r="K906" s="270"/>
      <c r="L906" s="57"/>
      <c r="M906" s="119"/>
      <c r="N906" s="57"/>
      <c r="O906" s="57"/>
      <c r="P906" s="57"/>
      <c r="Q906" s="57"/>
      <c r="R906" s="57"/>
      <c r="S906" s="119"/>
      <c r="T906" s="57"/>
      <c r="AD906" s="122"/>
    </row>
    <row r="907" spans="1:30" ht="12.75" hidden="1" customHeight="1" x14ac:dyDescent="0.2">
      <c r="A907" s="121"/>
      <c r="D907" s="117"/>
      <c r="E907" s="117"/>
      <c r="I907" s="118"/>
      <c r="J907" s="13"/>
      <c r="K907" s="270"/>
      <c r="L907" s="57"/>
      <c r="M907" s="119"/>
      <c r="N907" s="57"/>
      <c r="O907" s="57"/>
      <c r="P907" s="57"/>
      <c r="Q907" s="57"/>
      <c r="R907" s="57"/>
      <c r="S907" s="119"/>
      <c r="T907" s="57"/>
      <c r="AD907" s="122"/>
    </row>
    <row r="908" spans="1:30" ht="12.75" hidden="1" customHeight="1" x14ac:dyDescent="0.2">
      <c r="A908" s="121"/>
      <c r="D908" s="117"/>
      <c r="E908" s="117"/>
      <c r="I908" s="118"/>
      <c r="J908" s="13"/>
      <c r="K908" s="270"/>
      <c r="L908" s="57"/>
      <c r="M908" s="119"/>
      <c r="N908" s="57"/>
      <c r="O908" s="57"/>
      <c r="P908" s="57"/>
      <c r="Q908" s="57"/>
      <c r="R908" s="57"/>
      <c r="S908" s="119"/>
      <c r="T908" s="57"/>
      <c r="AD908" s="122"/>
    </row>
    <row r="909" spans="1:30" ht="12.75" hidden="1" customHeight="1" x14ac:dyDescent="0.2">
      <c r="A909" s="121"/>
      <c r="D909" s="117"/>
      <c r="E909" s="117"/>
      <c r="I909" s="118"/>
      <c r="J909" s="13"/>
      <c r="K909" s="270"/>
      <c r="L909" s="57"/>
      <c r="M909" s="119"/>
      <c r="N909" s="57"/>
      <c r="O909" s="57"/>
      <c r="P909" s="57"/>
      <c r="Q909" s="57"/>
      <c r="R909" s="57"/>
      <c r="S909" s="119"/>
      <c r="T909" s="57"/>
      <c r="AD909" s="122"/>
    </row>
    <row r="910" spans="1:30" ht="12.75" hidden="1" customHeight="1" x14ac:dyDescent="0.2">
      <c r="A910" s="121"/>
      <c r="D910" s="117"/>
      <c r="E910" s="117"/>
      <c r="I910" s="118"/>
      <c r="J910" s="13"/>
      <c r="K910" s="270"/>
      <c r="L910" s="57"/>
      <c r="M910" s="119"/>
      <c r="N910" s="57"/>
      <c r="O910" s="57"/>
      <c r="P910" s="57"/>
      <c r="Q910" s="57"/>
      <c r="R910" s="57"/>
      <c r="S910" s="119"/>
      <c r="T910" s="57"/>
      <c r="AD910" s="122"/>
    </row>
    <row r="911" spans="1:30" ht="12.75" hidden="1" customHeight="1" x14ac:dyDescent="0.2">
      <c r="A911" s="121"/>
      <c r="D911" s="117"/>
      <c r="E911" s="117"/>
      <c r="I911" s="118"/>
      <c r="J911" s="13"/>
      <c r="K911" s="270"/>
      <c r="L911" s="57"/>
      <c r="M911" s="119"/>
      <c r="N911" s="57"/>
      <c r="O911" s="57"/>
      <c r="P911" s="57"/>
      <c r="Q911" s="57"/>
      <c r="R911" s="57"/>
      <c r="S911" s="119"/>
      <c r="T911" s="57"/>
      <c r="AD911" s="122"/>
    </row>
    <row r="912" spans="1:30" ht="12.75" hidden="1" customHeight="1" x14ac:dyDescent="0.2">
      <c r="A912" s="121"/>
      <c r="D912" s="117"/>
      <c r="E912" s="117"/>
      <c r="I912" s="118"/>
      <c r="J912" s="13"/>
      <c r="K912" s="270"/>
      <c r="L912" s="57"/>
      <c r="M912" s="119"/>
      <c r="N912" s="57"/>
      <c r="O912" s="57"/>
      <c r="P912" s="57"/>
      <c r="Q912" s="57"/>
      <c r="R912" s="57"/>
      <c r="S912" s="119"/>
      <c r="T912" s="57"/>
      <c r="AD912" s="122"/>
    </row>
    <row r="913" spans="1:30" ht="12.75" hidden="1" customHeight="1" x14ac:dyDescent="0.2">
      <c r="A913" s="121"/>
      <c r="D913" s="117"/>
      <c r="E913" s="117"/>
      <c r="I913" s="118"/>
      <c r="J913" s="13"/>
      <c r="K913" s="270"/>
      <c r="L913" s="57"/>
      <c r="M913" s="119"/>
      <c r="N913" s="57"/>
      <c r="O913" s="57"/>
      <c r="P913" s="57"/>
      <c r="Q913" s="57"/>
      <c r="R913" s="57"/>
      <c r="S913" s="119"/>
      <c r="T913" s="57"/>
      <c r="AD913" s="122"/>
    </row>
    <row r="914" spans="1:30" ht="12.75" hidden="1" customHeight="1" x14ac:dyDescent="0.2">
      <c r="A914" s="121"/>
      <c r="D914" s="117"/>
      <c r="E914" s="117"/>
      <c r="I914" s="118"/>
      <c r="J914" s="13"/>
      <c r="K914" s="270"/>
      <c r="L914" s="57"/>
      <c r="M914" s="119"/>
      <c r="N914" s="57"/>
      <c r="O914" s="57"/>
      <c r="P914" s="57"/>
      <c r="Q914" s="57"/>
      <c r="R914" s="57"/>
      <c r="S914" s="119"/>
      <c r="T914" s="57"/>
      <c r="AD914" s="122"/>
    </row>
    <row r="915" spans="1:30" ht="12.75" hidden="1" customHeight="1" x14ac:dyDescent="0.2">
      <c r="A915" s="121"/>
      <c r="D915" s="117"/>
      <c r="E915" s="117"/>
      <c r="I915" s="118"/>
      <c r="J915" s="13"/>
      <c r="K915" s="270"/>
      <c r="L915" s="57"/>
      <c r="M915" s="119"/>
      <c r="N915" s="57"/>
      <c r="O915" s="57"/>
      <c r="P915" s="57"/>
      <c r="Q915" s="57"/>
      <c r="R915" s="57"/>
      <c r="S915" s="119"/>
      <c r="T915" s="57"/>
      <c r="AD915" s="122"/>
    </row>
    <row r="916" spans="1:30" ht="12.75" hidden="1" customHeight="1" x14ac:dyDescent="0.2">
      <c r="A916" s="121"/>
      <c r="D916" s="117"/>
      <c r="E916" s="117"/>
      <c r="I916" s="118"/>
      <c r="J916" s="13"/>
      <c r="K916" s="270"/>
      <c r="L916" s="57"/>
      <c r="M916" s="119"/>
      <c r="N916" s="57"/>
      <c r="O916" s="57"/>
      <c r="P916" s="57"/>
      <c r="Q916" s="57"/>
      <c r="R916" s="57"/>
      <c r="S916" s="119"/>
      <c r="T916" s="57"/>
      <c r="AD916" s="122"/>
    </row>
    <row r="917" spans="1:30" ht="12.75" hidden="1" customHeight="1" x14ac:dyDescent="0.2">
      <c r="A917" s="121"/>
      <c r="D917" s="117"/>
      <c r="E917" s="117"/>
      <c r="I917" s="118"/>
      <c r="J917" s="13"/>
      <c r="K917" s="270"/>
      <c r="L917" s="57"/>
      <c r="M917" s="119"/>
      <c r="N917" s="57"/>
      <c r="O917" s="57"/>
      <c r="P917" s="57"/>
      <c r="Q917" s="57"/>
      <c r="R917" s="57"/>
      <c r="S917" s="119"/>
      <c r="T917" s="57"/>
      <c r="AD917" s="122"/>
    </row>
    <row r="918" spans="1:30" ht="12.75" hidden="1" customHeight="1" x14ac:dyDescent="0.2">
      <c r="A918" s="121"/>
      <c r="D918" s="117"/>
      <c r="E918" s="117"/>
      <c r="I918" s="118"/>
      <c r="J918" s="13"/>
      <c r="K918" s="270"/>
      <c r="L918" s="57"/>
      <c r="M918" s="119"/>
      <c r="N918" s="57"/>
      <c r="O918" s="57"/>
      <c r="P918" s="57"/>
      <c r="Q918" s="57"/>
      <c r="R918" s="57"/>
      <c r="S918" s="119"/>
      <c r="T918" s="57"/>
      <c r="AD918" s="122"/>
    </row>
    <row r="919" spans="1:30" ht="12.75" hidden="1" customHeight="1" x14ac:dyDescent="0.2">
      <c r="A919" s="121"/>
      <c r="D919" s="117"/>
      <c r="E919" s="117"/>
      <c r="I919" s="118"/>
      <c r="J919" s="13"/>
      <c r="K919" s="270"/>
      <c r="L919" s="57"/>
      <c r="M919" s="119"/>
      <c r="N919" s="57"/>
      <c r="O919" s="57"/>
      <c r="P919" s="57"/>
      <c r="Q919" s="57"/>
      <c r="R919" s="57"/>
      <c r="S919" s="119"/>
      <c r="T919" s="57"/>
      <c r="AD919" s="122"/>
    </row>
    <row r="920" spans="1:30" ht="12.75" hidden="1" customHeight="1" x14ac:dyDescent="0.2">
      <c r="A920" s="121"/>
      <c r="D920" s="117"/>
      <c r="E920" s="117"/>
      <c r="I920" s="118"/>
      <c r="J920" s="13"/>
      <c r="K920" s="270"/>
      <c r="L920" s="57"/>
      <c r="M920" s="119"/>
      <c r="N920" s="57"/>
      <c r="O920" s="57"/>
      <c r="P920" s="57"/>
      <c r="Q920" s="57"/>
      <c r="R920" s="57"/>
      <c r="S920" s="119"/>
      <c r="T920" s="57"/>
      <c r="AD920" s="122"/>
    </row>
    <row r="921" spans="1:30" ht="12.75" hidden="1" customHeight="1" x14ac:dyDescent="0.2">
      <c r="A921" s="121"/>
      <c r="D921" s="117"/>
      <c r="E921" s="117"/>
      <c r="I921" s="118"/>
      <c r="J921" s="13"/>
      <c r="K921" s="270"/>
      <c r="L921" s="57"/>
      <c r="M921" s="119"/>
      <c r="N921" s="57"/>
      <c r="O921" s="57"/>
      <c r="P921" s="57"/>
      <c r="Q921" s="57"/>
      <c r="R921" s="57"/>
      <c r="S921" s="119"/>
      <c r="T921" s="57"/>
      <c r="AD921" s="122"/>
    </row>
    <row r="922" spans="1:30" ht="12.75" hidden="1" customHeight="1" x14ac:dyDescent="0.2">
      <c r="A922" s="121"/>
      <c r="D922" s="117"/>
      <c r="E922" s="117"/>
      <c r="I922" s="118"/>
      <c r="J922" s="13"/>
      <c r="K922" s="270"/>
      <c r="L922" s="57"/>
      <c r="M922" s="119"/>
      <c r="N922" s="57"/>
      <c r="O922" s="57"/>
      <c r="P922" s="57"/>
      <c r="Q922" s="57"/>
      <c r="R922" s="57"/>
      <c r="S922" s="119"/>
      <c r="T922" s="57"/>
      <c r="AD922" s="122"/>
    </row>
    <row r="923" spans="1:30" ht="12.75" hidden="1" customHeight="1" x14ac:dyDescent="0.2">
      <c r="A923" s="121"/>
      <c r="D923" s="117"/>
      <c r="E923" s="117"/>
      <c r="I923" s="118"/>
      <c r="J923" s="13"/>
      <c r="K923" s="270"/>
      <c r="L923" s="57"/>
      <c r="M923" s="119"/>
      <c r="N923" s="57"/>
      <c r="O923" s="57"/>
      <c r="P923" s="57"/>
      <c r="Q923" s="57"/>
      <c r="R923" s="57"/>
      <c r="S923" s="119"/>
      <c r="T923" s="57"/>
      <c r="AD923" s="122"/>
    </row>
    <row r="924" spans="1:30" ht="12.75" hidden="1" customHeight="1" x14ac:dyDescent="0.2">
      <c r="A924" s="121"/>
      <c r="D924" s="117"/>
      <c r="E924" s="117"/>
      <c r="I924" s="118"/>
      <c r="J924" s="13"/>
      <c r="K924" s="270"/>
      <c r="L924" s="57"/>
      <c r="M924" s="119"/>
      <c r="N924" s="57"/>
      <c r="O924" s="57"/>
      <c r="P924" s="57"/>
      <c r="Q924" s="57"/>
      <c r="R924" s="57"/>
      <c r="S924" s="119"/>
      <c r="T924" s="57"/>
      <c r="AD924" s="122"/>
    </row>
    <row r="925" spans="1:30" ht="12.75" hidden="1" customHeight="1" x14ac:dyDescent="0.2">
      <c r="A925" s="121"/>
      <c r="D925" s="117"/>
      <c r="E925" s="117"/>
      <c r="I925" s="118"/>
      <c r="J925" s="13"/>
      <c r="K925" s="270"/>
      <c r="L925" s="57"/>
      <c r="M925" s="119"/>
      <c r="N925" s="57"/>
      <c r="O925" s="57"/>
      <c r="P925" s="57"/>
      <c r="Q925" s="57"/>
      <c r="R925" s="57"/>
      <c r="S925" s="119"/>
      <c r="T925" s="57"/>
      <c r="AD925" s="122"/>
    </row>
    <row r="926" spans="1:30" ht="12.75" hidden="1" customHeight="1" x14ac:dyDescent="0.2">
      <c r="A926" s="121"/>
      <c r="D926" s="117"/>
      <c r="E926" s="117"/>
      <c r="I926" s="118"/>
      <c r="J926" s="13"/>
      <c r="K926" s="270"/>
      <c r="L926" s="57"/>
      <c r="M926" s="119"/>
      <c r="N926" s="57"/>
      <c r="O926" s="57"/>
      <c r="P926" s="57"/>
      <c r="Q926" s="57"/>
      <c r="R926" s="57"/>
      <c r="S926" s="119"/>
      <c r="T926" s="57"/>
      <c r="AD926" s="122"/>
    </row>
    <row r="927" spans="1:30" ht="12.75" hidden="1" customHeight="1" x14ac:dyDescent="0.2">
      <c r="A927" s="121"/>
      <c r="D927" s="117"/>
      <c r="E927" s="117"/>
      <c r="I927" s="118"/>
      <c r="J927" s="13"/>
      <c r="K927" s="270"/>
      <c r="L927" s="57"/>
      <c r="M927" s="119"/>
      <c r="N927" s="57"/>
      <c r="O927" s="57"/>
      <c r="P927" s="57"/>
      <c r="Q927" s="57"/>
      <c r="R927" s="57"/>
      <c r="S927" s="119"/>
      <c r="T927" s="57"/>
      <c r="AD927" s="122"/>
    </row>
    <row r="928" spans="1:30" ht="12.75" hidden="1" customHeight="1" x14ac:dyDescent="0.2">
      <c r="A928" s="121"/>
      <c r="D928" s="117"/>
      <c r="E928" s="117"/>
      <c r="I928" s="118"/>
      <c r="J928" s="13"/>
      <c r="K928" s="270"/>
      <c r="L928" s="57"/>
      <c r="M928" s="119"/>
      <c r="N928" s="57"/>
      <c r="O928" s="57"/>
      <c r="P928" s="57"/>
      <c r="Q928" s="57"/>
      <c r="R928" s="57"/>
      <c r="S928" s="119"/>
      <c r="T928" s="57"/>
      <c r="AD928" s="122"/>
    </row>
    <row r="929" spans="1:30" ht="12.75" hidden="1" customHeight="1" x14ac:dyDescent="0.2">
      <c r="A929" s="121"/>
      <c r="D929" s="117"/>
      <c r="E929" s="117"/>
      <c r="I929" s="118"/>
      <c r="J929" s="13"/>
      <c r="K929" s="270"/>
      <c r="L929" s="57"/>
      <c r="M929" s="119"/>
      <c r="N929" s="57"/>
      <c r="O929" s="57"/>
      <c r="P929" s="57"/>
      <c r="Q929" s="57"/>
      <c r="R929" s="57"/>
      <c r="S929" s="119"/>
      <c r="T929" s="57"/>
      <c r="AD929" s="122"/>
    </row>
    <row r="930" spans="1:30" ht="12.75" hidden="1" customHeight="1" x14ac:dyDescent="0.2">
      <c r="A930" s="121"/>
      <c r="D930" s="117"/>
      <c r="E930" s="117"/>
      <c r="I930" s="118"/>
      <c r="J930" s="13"/>
      <c r="K930" s="270"/>
      <c r="L930" s="57"/>
      <c r="M930" s="119"/>
      <c r="N930" s="57"/>
      <c r="O930" s="57"/>
      <c r="P930" s="57"/>
      <c r="Q930" s="57"/>
      <c r="R930" s="57"/>
      <c r="S930" s="119"/>
      <c r="T930" s="57"/>
      <c r="AD930" s="122"/>
    </row>
    <row r="931" spans="1:30" ht="12.75" hidden="1" customHeight="1" x14ac:dyDescent="0.2">
      <c r="A931" s="121"/>
      <c r="D931" s="117"/>
      <c r="E931" s="117"/>
      <c r="I931" s="118"/>
      <c r="J931" s="13"/>
      <c r="K931" s="270"/>
      <c r="L931" s="57"/>
      <c r="M931" s="119"/>
      <c r="N931" s="57"/>
      <c r="O931" s="57"/>
      <c r="P931" s="57"/>
      <c r="Q931" s="57"/>
      <c r="R931" s="57"/>
      <c r="S931" s="119"/>
      <c r="T931" s="57"/>
      <c r="AD931" s="122"/>
    </row>
    <row r="932" spans="1:30" ht="12.75" hidden="1" customHeight="1" x14ac:dyDescent="0.2">
      <c r="A932" s="121"/>
      <c r="D932" s="117"/>
      <c r="E932" s="117"/>
      <c r="I932" s="118"/>
      <c r="J932" s="13"/>
      <c r="K932" s="270"/>
      <c r="L932" s="57"/>
      <c r="M932" s="119"/>
      <c r="N932" s="57"/>
      <c r="O932" s="57"/>
      <c r="P932" s="57"/>
      <c r="Q932" s="57"/>
      <c r="R932" s="57"/>
      <c r="S932" s="119"/>
      <c r="T932" s="57"/>
      <c r="AD932" s="122"/>
    </row>
    <row r="933" spans="1:30" ht="12.75" hidden="1" customHeight="1" x14ac:dyDescent="0.2">
      <c r="A933" s="121"/>
      <c r="D933" s="117"/>
      <c r="E933" s="117"/>
      <c r="I933" s="118"/>
      <c r="J933" s="13"/>
      <c r="K933" s="270"/>
      <c r="L933" s="57"/>
      <c r="M933" s="119"/>
      <c r="N933" s="57"/>
      <c r="O933" s="57"/>
      <c r="P933" s="57"/>
      <c r="Q933" s="57"/>
      <c r="R933" s="57"/>
      <c r="S933" s="119"/>
      <c r="T933" s="57"/>
      <c r="AD933" s="122"/>
    </row>
    <row r="934" spans="1:30" ht="12.75" hidden="1" customHeight="1" x14ac:dyDescent="0.2">
      <c r="A934" s="121"/>
      <c r="D934" s="117"/>
      <c r="E934" s="117"/>
      <c r="I934" s="118"/>
      <c r="J934" s="13"/>
      <c r="K934" s="270"/>
      <c r="L934" s="57"/>
      <c r="M934" s="119"/>
      <c r="N934" s="57"/>
      <c r="O934" s="57"/>
      <c r="P934" s="57"/>
      <c r="Q934" s="57"/>
      <c r="R934" s="57"/>
      <c r="S934" s="119"/>
      <c r="T934" s="57"/>
      <c r="AD934" s="122"/>
    </row>
    <row r="935" spans="1:30" ht="12.75" hidden="1" customHeight="1" x14ac:dyDescent="0.2">
      <c r="A935" s="121"/>
      <c r="D935" s="117"/>
      <c r="E935" s="117"/>
      <c r="I935" s="118"/>
      <c r="J935" s="13"/>
      <c r="K935" s="270"/>
      <c r="L935" s="57"/>
      <c r="M935" s="119"/>
      <c r="N935" s="57"/>
      <c r="O935" s="57"/>
      <c r="P935" s="57"/>
      <c r="Q935" s="57"/>
      <c r="R935" s="57"/>
      <c r="S935" s="119"/>
      <c r="T935" s="57"/>
      <c r="AD935" s="122"/>
    </row>
    <row r="936" spans="1:30" ht="12.75" hidden="1" customHeight="1" x14ac:dyDescent="0.2">
      <c r="A936" s="121"/>
      <c r="D936" s="117"/>
      <c r="E936" s="117"/>
      <c r="I936" s="118"/>
      <c r="J936" s="13"/>
      <c r="K936" s="270"/>
      <c r="L936" s="57"/>
      <c r="M936" s="119"/>
      <c r="N936" s="57"/>
      <c r="O936" s="57"/>
      <c r="P936" s="57"/>
      <c r="Q936" s="57"/>
      <c r="R936" s="57"/>
      <c r="S936" s="119"/>
      <c r="T936" s="57"/>
      <c r="AD936" s="122"/>
    </row>
    <row r="937" spans="1:30" ht="12.75" hidden="1" customHeight="1" x14ac:dyDescent="0.2">
      <c r="A937" s="121"/>
      <c r="D937" s="117"/>
      <c r="E937" s="117"/>
      <c r="I937" s="118"/>
      <c r="J937" s="13"/>
      <c r="K937" s="270"/>
      <c r="L937" s="57"/>
      <c r="M937" s="119"/>
      <c r="N937" s="57"/>
      <c r="O937" s="57"/>
      <c r="P937" s="57"/>
      <c r="Q937" s="57"/>
      <c r="R937" s="57"/>
      <c r="S937" s="119"/>
      <c r="T937" s="57"/>
      <c r="AD937" s="122"/>
    </row>
    <row r="938" spans="1:30" ht="12.75" hidden="1" customHeight="1" x14ac:dyDescent="0.2">
      <c r="A938" s="121"/>
      <c r="D938" s="117"/>
      <c r="E938" s="117"/>
      <c r="I938" s="118"/>
      <c r="J938" s="13"/>
      <c r="K938" s="270"/>
      <c r="L938" s="57"/>
      <c r="M938" s="119"/>
      <c r="N938" s="57"/>
      <c r="O938" s="57"/>
      <c r="P938" s="57"/>
      <c r="Q938" s="57"/>
      <c r="R938" s="57"/>
      <c r="S938" s="119"/>
      <c r="T938" s="57"/>
      <c r="AD938" s="122"/>
    </row>
    <row r="939" spans="1:30" ht="12.75" hidden="1" customHeight="1" x14ac:dyDescent="0.2">
      <c r="A939" s="121"/>
      <c r="D939" s="117"/>
      <c r="E939" s="117"/>
      <c r="I939" s="118"/>
      <c r="J939" s="13"/>
      <c r="K939" s="270"/>
      <c r="L939" s="57"/>
      <c r="M939" s="119"/>
      <c r="N939" s="57"/>
      <c r="O939" s="57"/>
      <c r="P939" s="57"/>
      <c r="Q939" s="57"/>
      <c r="R939" s="57"/>
      <c r="S939" s="119"/>
      <c r="T939" s="57"/>
      <c r="AD939" s="122"/>
    </row>
    <row r="940" spans="1:30" ht="12.75" hidden="1" customHeight="1" x14ac:dyDescent="0.2">
      <c r="A940" s="121"/>
      <c r="D940" s="117"/>
      <c r="E940" s="117"/>
      <c r="I940" s="118"/>
      <c r="J940" s="13"/>
      <c r="K940" s="270"/>
      <c r="L940" s="57"/>
      <c r="M940" s="119"/>
      <c r="N940" s="57"/>
      <c r="O940" s="57"/>
      <c r="P940" s="57"/>
      <c r="Q940" s="57"/>
      <c r="R940" s="57"/>
      <c r="S940" s="119"/>
      <c r="T940" s="57"/>
      <c r="AD940" s="122"/>
    </row>
    <row r="941" spans="1:30" ht="12.75" hidden="1" customHeight="1" x14ac:dyDescent="0.2">
      <c r="A941" s="121"/>
      <c r="D941" s="117"/>
      <c r="E941" s="117"/>
      <c r="I941" s="118"/>
      <c r="J941" s="13"/>
      <c r="K941" s="270"/>
      <c r="L941" s="57"/>
      <c r="M941" s="119"/>
      <c r="N941" s="57"/>
      <c r="O941" s="57"/>
      <c r="P941" s="57"/>
      <c r="Q941" s="57"/>
      <c r="R941" s="57"/>
      <c r="S941" s="119"/>
      <c r="T941" s="57"/>
      <c r="AD941" s="122"/>
    </row>
    <row r="942" spans="1:30" ht="12.75" hidden="1" customHeight="1" x14ac:dyDescent="0.2">
      <c r="A942" s="121"/>
      <c r="D942" s="117"/>
      <c r="E942" s="117"/>
      <c r="I942" s="118"/>
      <c r="J942" s="13"/>
      <c r="K942" s="270"/>
      <c r="L942" s="57"/>
      <c r="M942" s="119"/>
      <c r="N942" s="57"/>
      <c r="O942" s="57"/>
      <c r="P942" s="57"/>
      <c r="Q942" s="57"/>
      <c r="R942" s="57"/>
      <c r="S942" s="119"/>
      <c r="T942" s="57"/>
      <c r="AD942" s="122"/>
    </row>
    <row r="943" spans="1:30" ht="12.75" hidden="1" customHeight="1" x14ac:dyDescent="0.2">
      <c r="A943" s="121"/>
      <c r="D943" s="117"/>
      <c r="E943" s="117"/>
      <c r="I943" s="118"/>
      <c r="J943" s="13"/>
      <c r="K943" s="270"/>
      <c r="L943" s="57"/>
      <c r="M943" s="119"/>
      <c r="N943" s="57"/>
      <c r="O943" s="57"/>
      <c r="P943" s="57"/>
      <c r="Q943" s="57"/>
      <c r="R943" s="57"/>
      <c r="S943" s="119"/>
      <c r="T943" s="57"/>
      <c r="AD943" s="122"/>
    </row>
    <row r="944" spans="1:30" ht="12.75" hidden="1" customHeight="1" x14ac:dyDescent="0.2">
      <c r="A944" s="121"/>
      <c r="D944" s="117"/>
      <c r="E944" s="117"/>
      <c r="I944" s="118"/>
      <c r="J944" s="13"/>
      <c r="K944" s="270"/>
      <c r="L944" s="57"/>
      <c r="M944" s="119"/>
      <c r="N944" s="57"/>
      <c r="O944" s="57"/>
      <c r="P944" s="57"/>
      <c r="Q944" s="57"/>
      <c r="R944" s="57"/>
      <c r="S944" s="119"/>
      <c r="T944" s="57"/>
      <c r="AD944" s="122"/>
    </row>
    <row r="945" spans="1:30" ht="12.75" hidden="1" customHeight="1" x14ac:dyDescent="0.2">
      <c r="A945" s="121"/>
      <c r="D945" s="117"/>
      <c r="E945" s="117"/>
      <c r="I945" s="118"/>
      <c r="J945" s="13"/>
      <c r="K945" s="270"/>
      <c r="L945" s="57"/>
      <c r="M945" s="119"/>
      <c r="N945" s="57"/>
      <c r="O945" s="57"/>
      <c r="P945" s="57"/>
      <c r="Q945" s="57"/>
      <c r="R945" s="57"/>
      <c r="S945" s="119"/>
      <c r="T945" s="57"/>
      <c r="AD945" s="122"/>
    </row>
    <row r="946" spans="1:30" ht="12.75" hidden="1" customHeight="1" x14ac:dyDescent="0.2">
      <c r="A946" s="121"/>
      <c r="D946" s="117"/>
      <c r="E946" s="117"/>
      <c r="I946" s="118"/>
      <c r="J946" s="13"/>
      <c r="K946" s="270"/>
      <c r="L946" s="57"/>
      <c r="M946" s="119"/>
      <c r="N946" s="57"/>
      <c r="O946" s="57"/>
      <c r="P946" s="57"/>
      <c r="Q946" s="57"/>
      <c r="R946" s="57"/>
      <c r="S946" s="119"/>
      <c r="T946" s="57"/>
      <c r="AD946" s="122"/>
    </row>
    <row r="947" spans="1:30" ht="12.75" hidden="1" customHeight="1" x14ac:dyDescent="0.2">
      <c r="A947" s="121"/>
      <c r="D947" s="117"/>
      <c r="E947" s="117"/>
      <c r="I947" s="118"/>
      <c r="J947" s="13"/>
      <c r="K947" s="270"/>
      <c r="L947" s="57"/>
      <c r="M947" s="119"/>
      <c r="N947" s="57"/>
      <c r="O947" s="57"/>
      <c r="P947" s="57"/>
      <c r="Q947" s="57"/>
      <c r="R947" s="57"/>
      <c r="S947" s="119"/>
      <c r="T947" s="57"/>
      <c r="AD947" s="122"/>
    </row>
    <row r="948" spans="1:30" ht="12.75" hidden="1" customHeight="1" x14ac:dyDescent="0.2">
      <c r="A948" s="121"/>
      <c r="D948" s="117"/>
      <c r="E948" s="117"/>
      <c r="I948" s="118"/>
      <c r="J948" s="13"/>
      <c r="K948" s="270"/>
      <c r="L948" s="57"/>
      <c r="M948" s="119"/>
      <c r="N948" s="57"/>
      <c r="O948" s="57"/>
      <c r="P948" s="57"/>
      <c r="Q948" s="57"/>
      <c r="R948" s="57"/>
      <c r="S948" s="119"/>
      <c r="T948" s="57"/>
      <c r="AD948" s="122"/>
    </row>
    <row r="949" spans="1:30" ht="12.75" hidden="1" customHeight="1" x14ac:dyDescent="0.2">
      <c r="A949" s="121"/>
      <c r="D949" s="117"/>
      <c r="E949" s="117"/>
      <c r="I949" s="118"/>
      <c r="J949" s="13"/>
      <c r="K949" s="270"/>
      <c r="L949" s="57"/>
      <c r="M949" s="119"/>
      <c r="N949" s="57"/>
      <c r="O949" s="57"/>
      <c r="P949" s="57"/>
      <c r="Q949" s="57"/>
      <c r="R949" s="57"/>
      <c r="S949" s="119"/>
      <c r="T949" s="57"/>
      <c r="AD949" s="122"/>
    </row>
    <row r="950" spans="1:30" ht="12.75" hidden="1" customHeight="1" x14ac:dyDescent="0.2">
      <c r="A950" s="121"/>
      <c r="D950" s="117"/>
      <c r="E950" s="117"/>
      <c r="I950" s="118"/>
      <c r="J950" s="13"/>
      <c r="K950" s="270"/>
      <c r="L950" s="57"/>
      <c r="M950" s="119"/>
      <c r="N950" s="57"/>
      <c r="O950" s="57"/>
      <c r="P950" s="57"/>
      <c r="Q950" s="57"/>
      <c r="R950" s="57"/>
      <c r="S950" s="119"/>
      <c r="T950" s="57"/>
      <c r="AD950" s="122"/>
    </row>
    <row r="951" spans="1:30" ht="12.75" hidden="1" customHeight="1" x14ac:dyDescent="0.2">
      <c r="A951" s="121"/>
      <c r="D951" s="117"/>
      <c r="E951" s="117"/>
      <c r="I951" s="118"/>
      <c r="J951" s="13"/>
      <c r="K951" s="270"/>
      <c r="L951" s="57"/>
      <c r="M951" s="119"/>
      <c r="N951" s="57"/>
      <c r="O951" s="57"/>
      <c r="P951" s="57"/>
      <c r="Q951" s="57"/>
      <c r="R951" s="57"/>
      <c r="S951" s="119"/>
      <c r="T951" s="57"/>
      <c r="AD951" s="122"/>
    </row>
    <row r="952" spans="1:30" ht="12.75" hidden="1" customHeight="1" x14ac:dyDescent="0.2">
      <c r="A952" s="121"/>
      <c r="D952" s="117"/>
      <c r="E952" s="117"/>
      <c r="I952" s="118"/>
      <c r="J952" s="13"/>
      <c r="K952" s="270"/>
      <c r="L952" s="57"/>
      <c r="M952" s="119"/>
      <c r="N952" s="57"/>
      <c r="O952" s="57"/>
      <c r="P952" s="57"/>
      <c r="Q952" s="57"/>
      <c r="R952" s="57"/>
      <c r="S952" s="119"/>
      <c r="T952" s="57"/>
      <c r="AD952" s="122"/>
    </row>
    <row r="953" spans="1:30" ht="12.75" hidden="1" customHeight="1" x14ac:dyDescent="0.2">
      <c r="A953" s="121"/>
      <c r="D953" s="117"/>
      <c r="E953" s="117"/>
      <c r="I953" s="118"/>
      <c r="J953" s="13"/>
      <c r="K953" s="270"/>
      <c r="L953" s="57"/>
      <c r="M953" s="119"/>
      <c r="N953" s="57"/>
      <c r="O953" s="57"/>
      <c r="P953" s="57"/>
      <c r="Q953" s="57"/>
      <c r="R953" s="57"/>
      <c r="S953" s="119"/>
      <c r="T953" s="57"/>
      <c r="AD953" s="122"/>
    </row>
    <row r="954" spans="1:30" ht="12.75" hidden="1" customHeight="1" x14ac:dyDescent="0.2">
      <c r="A954" s="121"/>
      <c r="D954" s="117"/>
      <c r="E954" s="117"/>
      <c r="I954" s="118"/>
      <c r="J954" s="13"/>
      <c r="K954" s="270"/>
      <c r="L954" s="57"/>
      <c r="M954" s="119"/>
      <c r="N954" s="57"/>
      <c r="O954" s="57"/>
      <c r="P954" s="57"/>
      <c r="Q954" s="57"/>
      <c r="R954" s="57"/>
      <c r="S954" s="119"/>
      <c r="T954" s="57"/>
      <c r="AD954" s="122"/>
    </row>
    <row r="955" spans="1:30" ht="12.75" hidden="1" customHeight="1" x14ac:dyDescent="0.2">
      <c r="A955" s="121"/>
      <c r="D955" s="117"/>
      <c r="E955" s="117"/>
      <c r="I955" s="118"/>
      <c r="J955" s="13"/>
      <c r="K955" s="270"/>
      <c r="L955" s="57"/>
      <c r="M955" s="119"/>
      <c r="N955" s="57"/>
      <c r="O955" s="57"/>
      <c r="P955" s="57"/>
      <c r="Q955" s="57"/>
      <c r="R955" s="57"/>
      <c r="S955" s="119"/>
      <c r="T955" s="57"/>
      <c r="AD955" s="122"/>
    </row>
    <row r="956" spans="1:30" ht="12.75" hidden="1" customHeight="1" x14ac:dyDescent="0.2">
      <c r="A956" s="121"/>
      <c r="D956" s="117"/>
      <c r="E956" s="117"/>
      <c r="I956" s="118"/>
      <c r="J956" s="13"/>
      <c r="K956" s="270"/>
      <c r="L956" s="57"/>
      <c r="M956" s="119"/>
      <c r="N956" s="57"/>
      <c r="O956" s="57"/>
      <c r="P956" s="57"/>
      <c r="Q956" s="57"/>
      <c r="R956" s="57"/>
      <c r="S956" s="119"/>
      <c r="T956" s="57"/>
      <c r="AD956" s="122"/>
    </row>
    <row r="957" spans="1:30" ht="12.75" hidden="1" customHeight="1" x14ac:dyDescent="0.2">
      <c r="A957" s="121"/>
      <c r="D957" s="117"/>
      <c r="E957" s="117"/>
      <c r="I957" s="118"/>
      <c r="J957" s="13"/>
      <c r="K957" s="270"/>
      <c r="L957" s="57"/>
      <c r="M957" s="119"/>
      <c r="N957" s="57"/>
      <c r="O957" s="57"/>
      <c r="P957" s="57"/>
      <c r="Q957" s="57"/>
      <c r="R957" s="57"/>
      <c r="S957" s="119"/>
      <c r="T957" s="57"/>
      <c r="AD957" s="122"/>
    </row>
    <row r="958" spans="1:30" ht="12.75" hidden="1" customHeight="1" x14ac:dyDescent="0.2">
      <c r="A958" s="121"/>
      <c r="D958" s="117"/>
      <c r="E958" s="117"/>
      <c r="I958" s="118"/>
      <c r="J958" s="13"/>
      <c r="K958" s="270"/>
      <c r="L958" s="57"/>
      <c r="M958" s="119"/>
      <c r="N958" s="57"/>
      <c r="O958" s="57"/>
      <c r="P958" s="57"/>
      <c r="Q958" s="57"/>
      <c r="R958" s="57"/>
      <c r="S958" s="119"/>
      <c r="T958" s="57"/>
      <c r="AD958" s="122"/>
    </row>
    <row r="959" spans="1:30" ht="12.75" hidden="1" customHeight="1" x14ac:dyDescent="0.2">
      <c r="A959" s="121"/>
      <c r="D959" s="117"/>
      <c r="E959" s="117"/>
      <c r="I959" s="118"/>
      <c r="J959" s="13"/>
      <c r="K959" s="270"/>
      <c r="L959" s="57"/>
      <c r="M959" s="119"/>
      <c r="N959" s="57"/>
      <c r="O959" s="57"/>
      <c r="P959" s="57"/>
      <c r="Q959" s="57"/>
      <c r="R959" s="57"/>
      <c r="S959" s="119"/>
      <c r="T959" s="57"/>
      <c r="AD959" s="122"/>
    </row>
    <row r="960" spans="1:30" ht="12.75" hidden="1" customHeight="1" x14ac:dyDescent="0.2">
      <c r="A960" s="121"/>
      <c r="D960" s="117"/>
      <c r="E960" s="117"/>
      <c r="I960" s="118"/>
      <c r="J960" s="13"/>
      <c r="K960" s="270"/>
      <c r="L960" s="57"/>
      <c r="M960" s="119"/>
      <c r="N960" s="57"/>
      <c r="O960" s="57"/>
      <c r="P960" s="57"/>
      <c r="Q960" s="57"/>
      <c r="R960" s="57"/>
      <c r="S960" s="119"/>
      <c r="T960" s="57"/>
      <c r="AD960" s="122"/>
    </row>
    <row r="961" spans="1:30" ht="12.75" hidden="1" customHeight="1" x14ac:dyDescent="0.2">
      <c r="A961" s="121"/>
      <c r="D961" s="117"/>
      <c r="E961" s="117"/>
      <c r="I961" s="118"/>
      <c r="J961" s="13"/>
      <c r="K961" s="270"/>
      <c r="L961" s="57"/>
      <c r="M961" s="119"/>
      <c r="N961" s="57"/>
      <c r="O961" s="57"/>
      <c r="P961" s="57"/>
      <c r="Q961" s="57"/>
      <c r="R961" s="57"/>
      <c r="S961" s="119"/>
      <c r="T961" s="57"/>
      <c r="AD961" s="122"/>
    </row>
    <row r="962" spans="1:30" ht="12.75" hidden="1" customHeight="1" x14ac:dyDescent="0.2">
      <c r="A962" s="121"/>
      <c r="D962" s="117"/>
      <c r="E962" s="117"/>
      <c r="I962" s="118"/>
      <c r="J962" s="13"/>
      <c r="K962" s="270"/>
      <c r="L962" s="57"/>
      <c r="M962" s="119"/>
      <c r="N962" s="57"/>
      <c r="O962" s="57"/>
      <c r="P962" s="57"/>
      <c r="Q962" s="57"/>
      <c r="R962" s="57"/>
      <c r="S962" s="119"/>
      <c r="T962" s="57"/>
      <c r="AD962" s="122"/>
    </row>
    <row r="963" spans="1:30" ht="12.75" hidden="1" customHeight="1" x14ac:dyDescent="0.2">
      <c r="A963" s="121"/>
      <c r="D963" s="117"/>
      <c r="E963" s="117"/>
      <c r="I963" s="118"/>
      <c r="J963" s="13"/>
      <c r="K963" s="270"/>
      <c r="L963" s="57"/>
      <c r="M963" s="119"/>
      <c r="N963" s="57"/>
      <c r="O963" s="57"/>
      <c r="P963" s="57"/>
      <c r="Q963" s="57"/>
      <c r="R963" s="57"/>
      <c r="S963" s="119"/>
      <c r="T963" s="57"/>
      <c r="AD963" s="122"/>
    </row>
    <row r="964" spans="1:30" ht="12.75" hidden="1" customHeight="1" x14ac:dyDescent="0.2">
      <c r="A964" s="121"/>
      <c r="D964" s="117"/>
      <c r="E964" s="117"/>
      <c r="I964" s="118"/>
      <c r="J964" s="13"/>
      <c r="K964" s="270"/>
      <c r="L964" s="57"/>
      <c r="M964" s="119"/>
      <c r="N964" s="57"/>
      <c r="O964" s="57"/>
      <c r="P964" s="57"/>
      <c r="Q964" s="57"/>
      <c r="R964" s="57"/>
      <c r="S964" s="119"/>
      <c r="T964" s="57"/>
      <c r="AD964" s="122"/>
    </row>
    <row r="965" spans="1:30" ht="12.75" hidden="1" customHeight="1" x14ac:dyDescent="0.2">
      <c r="A965" s="121"/>
      <c r="D965" s="117"/>
      <c r="E965" s="117"/>
      <c r="I965" s="118"/>
      <c r="J965" s="13"/>
      <c r="K965" s="270"/>
      <c r="L965" s="57"/>
      <c r="M965" s="119"/>
      <c r="N965" s="57"/>
      <c r="O965" s="57"/>
      <c r="P965" s="57"/>
      <c r="Q965" s="57"/>
      <c r="R965" s="57"/>
      <c r="S965" s="119"/>
      <c r="T965" s="57"/>
      <c r="AD965" s="122"/>
    </row>
    <row r="966" spans="1:30" ht="12.75" hidden="1" customHeight="1" x14ac:dyDescent="0.2">
      <c r="A966" s="121"/>
      <c r="D966" s="117"/>
      <c r="E966" s="117"/>
      <c r="I966" s="118"/>
      <c r="J966" s="13"/>
      <c r="K966" s="270"/>
      <c r="L966" s="57"/>
      <c r="M966" s="119"/>
      <c r="N966" s="57"/>
      <c r="O966" s="57"/>
      <c r="P966" s="57"/>
      <c r="Q966" s="57"/>
      <c r="R966" s="57"/>
      <c r="S966" s="119"/>
      <c r="T966" s="57"/>
      <c r="AD966" s="122"/>
    </row>
    <row r="967" spans="1:30" ht="12.75" hidden="1" customHeight="1" x14ac:dyDescent="0.2">
      <c r="A967" s="121"/>
      <c r="D967" s="117"/>
      <c r="E967" s="117"/>
      <c r="I967" s="118"/>
      <c r="J967" s="13"/>
      <c r="K967" s="270"/>
      <c r="L967" s="57"/>
      <c r="M967" s="119"/>
      <c r="N967" s="57"/>
      <c r="O967" s="57"/>
      <c r="P967" s="57"/>
      <c r="Q967" s="57"/>
      <c r="R967" s="57"/>
      <c r="S967" s="119"/>
      <c r="T967" s="57"/>
      <c r="AD967" s="122"/>
    </row>
    <row r="968" spans="1:30" ht="12.75" hidden="1" customHeight="1" x14ac:dyDescent="0.2">
      <c r="A968" s="121"/>
      <c r="D968" s="117"/>
      <c r="E968" s="117"/>
      <c r="I968" s="118"/>
      <c r="J968" s="13"/>
      <c r="K968" s="270"/>
      <c r="L968" s="57"/>
      <c r="M968" s="119"/>
      <c r="N968" s="57"/>
      <c r="O968" s="57"/>
      <c r="P968" s="57"/>
      <c r="Q968" s="57"/>
      <c r="R968" s="57"/>
      <c r="S968" s="119"/>
      <c r="T968" s="57"/>
      <c r="AD968" s="122"/>
    </row>
    <row r="969" spans="1:30" ht="12.75" hidden="1" customHeight="1" x14ac:dyDescent="0.2">
      <c r="A969" s="121"/>
      <c r="D969" s="117"/>
      <c r="E969" s="117"/>
      <c r="I969" s="118"/>
      <c r="J969" s="13"/>
      <c r="K969" s="270"/>
      <c r="L969" s="57"/>
      <c r="M969" s="119"/>
      <c r="N969" s="57"/>
      <c r="O969" s="57"/>
      <c r="P969" s="57"/>
      <c r="Q969" s="57"/>
      <c r="R969" s="57"/>
      <c r="S969" s="119"/>
      <c r="T969" s="57"/>
      <c r="AD969" s="122"/>
    </row>
    <row r="970" spans="1:30" ht="12.75" hidden="1" customHeight="1" x14ac:dyDescent="0.2">
      <c r="A970" s="121"/>
      <c r="D970" s="117"/>
      <c r="E970" s="117"/>
      <c r="I970" s="118"/>
      <c r="J970" s="13"/>
      <c r="K970" s="270"/>
      <c r="L970" s="57"/>
      <c r="M970" s="119"/>
      <c r="N970" s="57"/>
      <c r="O970" s="57"/>
      <c r="P970" s="57"/>
      <c r="Q970" s="57"/>
      <c r="R970" s="57"/>
      <c r="S970" s="119"/>
      <c r="T970" s="57"/>
      <c r="AD970" s="122"/>
    </row>
    <row r="971" spans="1:30" ht="12.75" hidden="1" customHeight="1" x14ac:dyDescent="0.2">
      <c r="A971" s="121"/>
      <c r="D971" s="117"/>
      <c r="E971" s="117"/>
      <c r="I971" s="118"/>
      <c r="J971" s="13"/>
      <c r="K971" s="270"/>
      <c r="L971" s="57"/>
      <c r="M971" s="119"/>
      <c r="N971" s="57"/>
      <c r="O971" s="57"/>
      <c r="P971" s="57"/>
      <c r="Q971" s="57"/>
      <c r="R971" s="57"/>
      <c r="S971" s="119"/>
      <c r="T971" s="57"/>
      <c r="AD971" s="122"/>
    </row>
    <row r="972" spans="1:30" ht="12.75" hidden="1" customHeight="1" x14ac:dyDescent="0.2">
      <c r="A972" s="121"/>
      <c r="D972" s="117"/>
      <c r="E972" s="117"/>
      <c r="I972" s="118"/>
      <c r="J972" s="13"/>
      <c r="K972" s="270"/>
      <c r="L972" s="57"/>
      <c r="M972" s="119"/>
      <c r="N972" s="57"/>
      <c r="O972" s="57"/>
      <c r="P972" s="57"/>
      <c r="Q972" s="57"/>
      <c r="R972" s="57"/>
      <c r="S972" s="119"/>
      <c r="T972" s="57"/>
      <c r="AD972" s="122"/>
    </row>
    <row r="973" spans="1:30" ht="12.75" hidden="1" customHeight="1" x14ac:dyDescent="0.2">
      <c r="A973" s="121"/>
      <c r="D973" s="117"/>
      <c r="E973" s="117"/>
      <c r="I973" s="118"/>
      <c r="J973" s="13"/>
      <c r="K973" s="270"/>
      <c r="L973" s="57"/>
      <c r="M973" s="119"/>
      <c r="N973" s="57"/>
      <c r="O973" s="57"/>
      <c r="P973" s="57"/>
      <c r="Q973" s="57"/>
      <c r="R973" s="57"/>
      <c r="S973" s="119"/>
      <c r="T973" s="57"/>
      <c r="AD973" s="122"/>
    </row>
    <row r="974" spans="1:30" ht="12.75" hidden="1" customHeight="1" x14ac:dyDescent="0.2">
      <c r="A974" s="121"/>
      <c r="D974" s="117"/>
      <c r="E974" s="117"/>
      <c r="I974" s="118"/>
      <c r="J974" s="13"/>
      <c r="K974" s="270"/>
      <c r="L974" s="57"/>
      <c r="M974" s="119"/>
      <c r="N974" s="57"/>
      <c r="O974" s="57"/>
      <c r="P974" s="57"/>
      <c r="Q974" s="57"/>
      <c r="R974" s="57"/>
      <c r="S974" s="119"/>
      <c r="T974" s="57"/>
      <c r="AD974" s="122"/>
    </row>
    <row r="975" spans="1:30" ht="12.75" hidden="1" customHeight="1" x14ac:dyDescent="0.2">
      <c r="A975" s="121"/>
      <c r="D975" s="117"/>
      <c r="E975" s="117"/>
      <c r="I975" s="118"/>
      <c r="J975" s="13"/>
      <c r="K975" s="270"/>
      <c r="L975" s="57"/>
      <c r="M975" s="119"/>
      <c r="N975" s="57"/>
      <c r="O975" s="57"/>
      <c r="P975" s="57"/>
      <c r="Q975" s="57"/>
      <c r="R975" s="57"/>
      <c r="S975" s="119"/>
      <c r="T975" s="57"/>
      <c r="AD975" s="122"/>
    </row>
    <row r="976" spans="1:30" ht="12.75" hidden="1" customHeight="1" x14ac:dyDescent="0.2">
      <c r="A976" s="121"/>
      <c r="D976" s="117"/>
      <c r="E976" s="117"/>
      <c r="I976" s="118"/>
      <c r="J976" s="13"/>
      <c r="K976" s="270"/>
      <c r="L976" s="57"/>
      <c r="M976" s="119"/>
      <c r="N976" s="57"/>
      <c r="O976" s="57"/>
      <c r="P976" s="57"/>
      <c r="Q976" s="57"/>
      <c r="R976" s="57"/>
      <c r="S976" s="119"/>
      <c r="T976" s="57"/>
      <c r="AD976" s="122"/>
    </row>
    <row r="977" spans="1:30" ht="12.75" hidden="1" customHeight="1" x14ac:dyDescent="0.2">
      <c r="A977" s="121"/>
      <c r="D977" s="117"/>
      <c r="E977" s="117"/>
      <c r="I977" s="118"/>
      <c r="J977" s="13"/>
      <c r="K977" s="270"/>
      <c r="L977" s="57"/>
      <c r="M977" s="119"/>
      <c r="N977" s="57"/>
      <c r="O977" s="57"/>
      <c r="P977" s="57"/>
      <c r="Q977" s="57"/>
      <c r="R977" s="57"/>
      <c r="S977" s="119"/>
      <c r="T977" s="57"/>
      <c r="AD977" s="122"/>
    </row>
    <row r="978" spans="1:30" ht="12.75" hidden="1" customHeight="1" x14ac:dyDescent="0.2">
      <c r="A978" s="121"/>
      <c r="D978" s="117"/>
      <c r="E978" s="117"/>
      <c r="I978" s="118"/>
      <c r="J978" s="13"/>
      <c r="K978" s="270"/>
      <c r="L978" s="57"/>
      <c r="M978" s="119"/>
      <c r="N978" s="57"/>
      <c r="O978" s="57"/>
      <c r="P978" s="57"/>
      <c r="Q978" s="57"/>
      <c r="R978" s="57"/>
      <c r="S978" s="119"/>
      <c r="T978" s="57"/>
      <c r="AD978" s="122"/>
    </row>
    <row r="979" spans="1:30" ht="12.75" hidden="1" customHeight="1" x14ac:dyDescent="0.2">
      <c r="A979" s="121"/>
      <c r="D979" s="117"/>
      <c r="E979" s="117"/>
      <c r="I979" s="118"/>
      <c r="J979" s="13"/>
      <c r="K979" s="270"/>
      <c r="L979" s="57"/>
      <c r="M979" s="119"/>
      <c r="N979" s="57"/>
      <c r="O979" s="57"/>
      <c r="P979" s="57"/>
      <c r="Q979" s="57"/>
      <c r="R979" s="57"/>
      <c r="S979" s="119"/>
      <c r="T979" s="57"/>
      <c r="AD979" s="122"/>
    </row>
    <row r="980" spans="1:30" ht="12.75" hidden="1" customHeight="1" x14ac:dyDescent="0.2">
      <c r="A980" s="121"/>
      <c r="D980" s="117"/>
      <c r="E980" s="117"/>
      <c r="I980" s="118"/>
      <c r="J980" s="13"/>
      <c r="K980" s="270"/>
      <c r="L980" s="57"/>
      <c r="M980" s="119"/>
      <c r="N980" s="57"/>
      <c r="O980" s="57"/>
      <c r="P980" s="57"/>
      <c r="Q980" s="57"/>
      <c r="R980" s="57"/>
      <c r="S980" s="119"/>
      <c r="T980" s="57"/>
      <c r="AD980" s="122"/>
    </row>
    <row r="981" spans="1:30" ht="12.75" hidden="1" customHeight="1" x14ac:dyDescent="0.2">
      <c r="A981" s="121"/>
      <c r="D981" s="117"/>
      <c r="E981" s="117"/>
      <c r="I981" s="118"/>
      <c r="J981" s="13"/>
      <c r="K981" s="270"/>
      <c r="L981" s="57"/>
      <c r="M981" s="119"/>
      <c r="N981" s="57"/>
      <c r="O981" s="57"/>
      <c r="P981" s="57"/>
      <c r="Q981" s="57"/>
      <c r="R981" s="57"/>
      <c r="S981" s="119"/>
      <c r="T981" s="57"/>
      <c r="AD981" s="122"/>
    </row>
    <row r="982" spans="1:30" ht="12.75" hidden="1" customHeight="1" x14ac:dyDescent="0.2">
      <c r="A982" s="121"/>
      <c r="D982" s="117"/>
      <c r="E982" s="117"/>
      <c r="I982" s="118"/>
      <c r="J982" s="13"/>
      <c r="K982" s="270"/>
      <c r="L982" s="57"/>
      <c r="M982" s="119"/>
      <c r="N982" s="57"/>
      <c r="O982" s="57"/>
      <c r="P982" s="57"/>
      <c r="Q982" s="57"/>
      <c r="R982" s="57"/>
      <c r="S982" s="119"/>
      <c r="T982" s="57"/>
      <c r="AD982" s="122"/>
    </row>
    <row r="983" spans="1:30" ht="12.75" hidden="1" customHeight="1" x14ac:dyDescent="0.2">
      <c r="A983" s="121"/>
      <c r="D983" s="117"/>
      <c r="E983" s="117"/>
      <c r="I983" s="118"/>
      <c r="J983" s="13"/>
      <c r="K983" s="270"/>
      <c r="L983" s="57"/>
      <c r="M983" s="119"/>
      <c r="N983" s="57"/>
      <c r="O983" s="57"/>
      <c r="P983" s="57"/>
      <c r="Q983" s="57"/>
      <c r="R983" s="57"/>
      <c r="S983" s="119"/>
      <c r="T983" s="57"/>
      <c r="AD983" s="122"/>
    </row>
    <row r="984" spans="1:30" ht="12.75" hidden="1" customHeight="1" x14ac:dyDescent="0.2">
      <c r="A984" s="121"/>
      <c r="D984" s="117"/>
      <c r="E984" s="117"/>
      <c r="I984" s="118"/>
      <c r="J984" s="13"/>
      <c r="K984" s="270"/>
      <c r="L984" s="57"/>
      <c r="M984" s="119"/>
      <c r="N984" s="57"/>
      <c r="O984" s="57"/>
      <c r="P984" s="57"/>
      <c r="Q984" s="57"/>
      <c r="R984" s="57"/>
      <c r="S984" s="119"/>
      <c r="T984" s="57"/>
      <c r="AD984" s="122"/>
    </row>
    <row r="985" spans="1:30" ht="12.75" hidden="1" customHeight="1" x14ac:dyDescent="0.2">
      <c r="A985" s="121"/>
      <c r="D985" s="117"/>
      <c r="E985" s="117"/>
      <c r="I985" s="118"/>
      <c r="J985" s="13"/>
      <c r="K985" s="270"/>
      <c r="L985" s="57"/>
      <c r="M985" s="119"/>
      <c r="N985" s="57"/>
      <c r="O985" s="57"/>
      <c r="P985" s="57"/>
      <c r="Q985" s="57"/>
      <c r="R985" s="57"/>
      <c r="S985" s="119"/>
      <c r="T985" s="57"/>
      <c r="AD985" s="122"/>
    </row>
    <row r="986" spans="1:30" ht="12.75" hidden="1" customHeight="1" x14ac:dyDescent="0.2">
      <c r="A986" s="121"/>
      <c r="D986" s="117"/>
      <c r="E986" s="117"/>
      <c r="I986" s="118"/>
      <c r="J986" s="13"/>
      <c r="K986" s="270"/>
      <c r="L986" s="57"/>
      <c r="M986" s="119"/>
      <c r="N986" s="57"/>
      <c r="O986" s="57"/>
      <c r="P986" s="57"/>
      <c r="Q986" s="57"/>
      <c r="R986" s="57"/>
      <c r="S986" s="119"/>
      <c r="T986" s="57"/>
      <c r="AD986" s="122"/>
    </row>
    <row r="987" spans="1:30" ht="12.75" hidden="1" customHeight="1" x14ac:dyDescent="0.2">
      <c r="A987" s="121"/>
      <c r="D987" s="117"/>
      <c r="E987" s="117"/>
      <c r="I987" s="118"/>
      <c r="J987" s="13"/>
      <c r="K987" s="270"/>
      <c r="L987" s="57"/>
      <c r="M987" s="119"/>
      <c r="N987" s="57"/>
      <c r="O987" s="57"/>
      <c r="P987" s="57"/>
      <c r="Q987" s="57"/>
      <c r="R987" s="57"/>
      <c r="S987" s="119"/>
      <c r="T987" s="57"/>
      <c r="AD987" s="122"/>
    </row>
    <row r="988" spans="1:30" ht="12.75" hidden="1" customHeight="1" x14ac:dyDescent="0.2">
      <c r="A988" s="121"/>
      <c r="D988" s="117"/>
      <c r="E988" s="117"/>
      <c r="I988" s="118"/>
      <c r="J988" s="13"/>
      <c r="K988" s="270"/>
      <c r="L988" s="57"/>
      <c r="M988" s="119"/>
      <c r="N988" s="57"/>
      <c r="O988" s="57"/>
      <c r="P988" s="57"/>
      <c r="Q988" s="57"/>
      <c r="R988" s="57"/>
      <c r="S988" s="119"/>
      <c r="T988" s="57"/>
      <c r="AD988" s="122"/>
    </row>
    <row r="989" spans="1:30" ht="12.75" hidden="1" customHeight="1" x14ac:dyDescent="0.2">
      <c r="A989" s="121"/>
      <c r="D989" s="117"/>
      <c r="E989" s="117"/>
      <c r="I989" s="118"/>
      <c r="J989" s="13"/>
      <c r="K989" s="270"/>
      <c r="L989" s="57"/>
      <c r="M989" s="119"/>
      <c r="N989" s="57"/>
      <c r="O989" s="57"/>
      <c r="P989" s="57"/>
      <c r="Q989" s="57"/>
      <c r="R989" s="57"/>
      <c r="S989" s="119"/>
      <c r="T989" s="57"/>
      <c r="AD989" s="122"/>
    </row>
    <row r="990" spans="1:30" ht="12.75" hidden="1" customHeight="1" x14ac:dyDescent="0.2">
      <c r="A990" s="121"/>
      <c r="D990" s="117"/>
      <c r="E990" s="117"/>
      <c r="I990" s="118"/>
      <c r="J990" s="13"/>
      <c r="K990" s="270"/>
      <c r="L990" s="57"/>
      <c r="M990" s="119"/>
      <c r="N990" s="57"/>
      <c r="O990" s="57"/>
      <c r="P990" s="57"/>
      <c r="Q990" s="57"/>
      <c r="R990" s="57"/>
      <c r="S990" s="119"/>
      <c r="T990" s="57"/>
      <c r="AD990" s="122"/>
    </row>
    <row r="991" spans="1:30" ht="12.75" hidden="1" customHeight="1" x14ac:dyDescent="0.2">
      <c r="A991" s="121"/>
      <c r="D991" s="117"/>
      <c r="E991" s="117"/>
      <c r="I991" s="118"/>
      <c r="J991" s="13"/>
      <c r="K991" s="270"/>
      <c r="L991" s="57"/>
      <c r="M991" s="119"/>
      <c r="N991" s="57"/>
      <c r="O991" s="57"/>
      <c r="P991" s="57"/>
      <c r="Q991" s="57"/>
      <c r="R991" s="57"/>
      <c r="S991" s="119"/>
      <c r="T991" s="57"/>
      <c r="AD991" s="122"/>
    </row>
    <row r="992" spans="1:30" ht="12.75" hidden="1" customHeight="1" x14ac:dyDescent="0.2">
      <c r="A992" s="121"/>
      <c r="D992" s="117"/>
      <c r="E992" s="117"/>
      <c r="I992" s="118"/>
      <c r="J992" s="13"/>
      <c r="K992" s="270"/>
      <c r="L992" s="57"/>
      <c r="M992" s="119"/>
      <c r="N992" s="57"/>
      <c r="O992" s="57"/>
      <c r="P992" s="57"/>
      <c r="Q992" s="57"/>
      <c r="R992" s="57"/>
      <c r="S992" s="119"/>
      <c r="T992" s="57"/>
      <c r="AD992" s="122"/>
    </row>
    <row r="993" spans="1:30" ht="12.75" hidden="1" customHeight="1" x14ac:dyDescent="0.2">
      <c r="A993" s="121"/>
      <c r="D993" s="117"/>
      <c r="E993" s="117"/>
      <c r="I993" s="118"/>
      <c r="J993" s="13"/>
      <c r="K993" s="270"/>
      <c r="L993" s="57"/>
      <c r="M993" s="119"/>
      <c r="N993" s="57"/>
      <c r="O993" s="57"/>
      <c r="P993" s="57"/>
      <c r="Q993" s="57"/>
      <c r="R993" s="57"/>
      <c r="S993" s="119"/>
      <c r="T993" s="57"/>
      <c r="AD993" s="122"/>
    </row>
    <row r="994" spans="1:30" ht="12.75" hidden="1" customHeight="1" x14ac:dyDescent="0.2">
      <c r="A994" s="121"/>
      <c r="D994" s="117"/>
      <c r="E994" s="117"/>
      <c r="I994" s="118"/>
      <c r="J994" s="13"/>
      <c r="K994" s="270"/>
      <c r="L994" s="57"/>
      <c r="M994" s="119"/>
      <c r="N994" s="57"/>
      <c r="O994" s="57"/>
      <c r="P994" s="57"/>
      <c r="Q994" s="57"/>
      <c r="R994" s="57"/>
      <c r="S994" s="119"/>
      <c r="T994" s="57"/>
      <c r="AD994" s="122"/>
    </row>
    <row r="995" spans="1:30" ht="12.75" hidden="1" customHeight="1" x14ac:dyDescent="0.2">
      <c r="A995" s="121"/>
      <c r="D995" s="117"/>
      <c r="E995" s="117"/>
      <c r="I995" s="118"/>
      <c r="J995" s="13"/>
      <c r="K995" s="270"/>
      <c r="L995" s="57"/>
      <c r="M995" s="119"/>
      <c r="N995" s="57"/>
      <c r="O995" s="57"/>
      <c r="P995" s="57"/>
      <c r="Q995" s="57"/>
      <c r="R995" s="57"/>
      <c r="S995" s="119"/>
      <c r="T995" s="57"/>
      <c r="AD995" s="122"/>
    </row>
    <row r="996" spans="1:30" ht="12.75" hidden="1" customHeight="1" x14ac:dyDescent="0.2">
      <c r="A996" s="121"/>
      <c r="D996" s="117"/>
      <c r="E996" s="117"/>
      <c r="I996" s="118"/>
      <c r="J996" s="13"/>
      <c r="K996" s="270"/>
      <c r="L996" s="57"/>
      <c r="M996" s="119"/>
      <c r="N996" s="57"/>
      <c r="O996" s="57"/>
      <c r="P996" s="57"/>
      <c r="Q996" s="57"/>
      <c r="R996" s="57"/>
      <c r="S996" s="119"/>
      <c r="T996" s="57"/>
      <c r="AD996" s="122"/>
    </row>
    <row r="997" spans="1:30" ht="12.75" hidden="1" customHeight="1" x14ac:dyDescent="0.2">
      <c r="A997" s="121"/>
      <c r="D997" s="117"/>
      <c r="E997" s="117"/>
      <c r="I997" s="118"/>
      <c r="J997" s="13"/>
      <c r="K997" s="270"/>
      <c r="L997" s="57"/>
      <c r="M997" s="119"/>
      <c r="N997" s="57"/>
      <c r="O997" s="57"/>
      <c r="P997" s="57"/>
      <c r="Q997" s="57"/>
      <c r="R997" s="57"/>
      <c r="S997" s="119"/>
      <c r="T997" s="57"/>
      <c r="AD997" s="122"/>
    </row>
    <row r="998" spans="1:30" ht="12.75" hidden="1" customHeight="1" x14ac:dyDescent="0.2">
      <c r="A998" s="121"/>
      <c r="D998" s="117"/>
      <c r="E998" s="117"/>
      <c r="I998" s="118"/>
      <c r="J998" s="13"/>
      <c r="K998" s="270"/>
      <c r="L998" s="57"/>
      <c r="M998" s="119"/>
      <c r="N998" s="57"/>
      <c r="O998" s="57"/>
      <c r="P998" s="57"/>
      <c r="Q998" s="57"/>
      <c r="R998" s="57"/>
      <c r="S998" s="119"/>
      <c r="T998" s="57"/>
      <c r="AD998" s="122"/>
    </row>
    <row r="999" spans="1:30" ht="12.75" hidden="1" customHeight="1" x14ac:dyDescent="0.2">
      <c r="A999" s="121"/>
      <c r="D999" s="117"/>
      <c r="E999" s="117"/>
      <c r="I999" s="118"/>
      <c r="J999" s="13"/>
      <c r="K999" s="270"/>
      <c r="L999" s="57"/>
      <c r="M999" s="119"/>
      <c r="N999" s="57"/>
      <c r="O999" s="57"/>
      <c r="P999" s="57"/>
      <c r="Q999" s="57"/>
      <c r="R999" s="57"/>
      <c r="S999" s="119"/>
      <c r="T999" s="57"/>
      <c r="AD999" s="122"/>
    </row>
    <row r="1000" spans="1:30" ht="12.75" hidden="1" customHeight="1" x14ac:dyDescent="0.2">
      <c r="A1000" s="121"/>
      <c r="D1000" s="117"/>
      <c r="E1000" s="117"/>
      <c r="I1000" s="118"/>
      <c r="J1000" s="13"/>
      <c r="K1000" s="270"/>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0" t="str">
        <f>IF(Roster!$K$25="Italiano","GIOCATORI MORTI &amp; TEMPORANEAMENTE RITIRATI",(IF(Roster!$K$25="Español","MUERTOS Y JUGADORES RETIRADOS",(IF(Roster!$K$25="Deutsch","TOTE &amp; PENSIONIERTE SPIELER",(IF(Roster!$K$25="Français","JOUEURS MORTS ET RETRAITÉS","DEAD &amp; RETIRED PLAYERS")))))))</f>
        <v>DEAD &amp; RETIRED PLAYERS</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2"/>
      <c r="AL1" s="8"/>
    </row>
    <row r="2" spans="1:38" ht="22.5" customHeight="1" x14ac:dyDescent="0.2">
      <c r="A2" s="15" t="s">
        <v>29</v>
      </c>
      <c r="B2" s="15" t="str">
        <f>IF(Roster!$K$25="Italiano","NOME GIOCATORE",(IF(Roster!$K$25="Español","NOMBRE JUGADOR",(IF(Roster!$K$25="Deutsch","NAME",(IF(Roster!$K$25="Français","NOM DU JOUEUR","PLAYER NAME")))))))</f>
        <v>PLAYER NAME</v>
      </c>
      <c r="C2" s="360" t="str">
        <f>IF(Roster!$K$25="Italiano","TIPO",(IF(Roster!$K$25="Español","TIPO",(IF(Roster!$K$25="Deutsch","POSITION",(IF(Roster!$K$25="Français","POSTE","TYPE")))))))</f>
        <v>TYPE</v>
      </c>
      <c r="D2" s="301"/>
      <c r="E2" s="301"/>
      <c r="F2" s="302"/>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0" t="str">
        <f>IF(Roster!$K$25="Italiano","ABILITÀ",(IF(Roster!$K$25="Español","HABILIDADES",(IF(Roster!$K$25="Deutsch","FERTIGKEITEN",(IF(Roster!$K$25="Français","COMPÉTENCES","SKILLS")))))))</f>
        <v>SKILLS</v>
      </c>
      <c r="M2" s="301"/>
      <c r="N2" s="301"/>
      <c r="O2" s="301"/>
      <c r="P2" s="301"/>
      <c r="Q2" s="301"/>
      <c r="R2" s="301"/>
      <c r="S2" s="301"/>
      <c r="T2" s="301"/>
      <c r="U2" s="301"/>
      <c r="V2" s="302"/>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0" t="str">
        <f>IF(Roster!$K$25="Italiano","SPP Totali",(IF(Roster!$K$25="Español","SPP Totales",(IF(Roster!$K$25="Deutsch","Gesamte SPP",(IF(Roster!$K$25="Français","Total PSP","Total SPP")))))))</f>
        <v>Total SPP</v>
      </c>
      <c r="AG2" s="302"/>
      <c r="AH2" s="390" t="str">
        <f>IF(Roster!$K$25="Italiano","SPP Non Spesi",(IF(Roster!$K$25="Español","SPP Sin gastar",(IF(Roster!$K$25="Deutsch","Verfügb. SPP",(IF(Roster!$K$25="Français","PSP restant","Unspent SPP")))))))</f>
        <v>Unspent SPP</v>
      </c>
      <c r="AI2" s="302"/>
      <c r="AJ2" s="360" t="str">
        <f>IF(Roster!$K$25="Italiano","COSTO",(IF(Roster!$K$25="Español","PRECIO",(IF(Roster!$K$25="Deutsch","WERT",(IF(Roster!$K$25="Français","VALEUR","COST")))))))</f>
        <v>COST</v>
      </c>
      <c r="AK2" s="302"/>
      <c r="AL2" s="450"/>
    </row>
    <row r="3" spans="1:38" ht="22.5" customHeight="1" x14ac:dyDescent="0.2">
      <c r="A3" s="15">
        <v>1</v>
      </c>
      <c r="B3" s="215"/>
      <c r="C3" s="454"/>
      <c r="D3" s="364"/>
      <c r="E3" s="364"/>
      <c r="F3" s="365"/>
      <c r="G3" s="142"/>
      <c r="H3" s="142"/>
      <c r="I3" s="142"/>
      <c r="J3" s="142"/>
      <c r="K3" s="142"/>
      <c r="L3" s="448"/>
      <c r="M3" s="364"/>
      <c r="N3" s="364"/>
      <c r="O3" s="364"/>
      <c r="P3" s="364"/>
      <c r="Q3" s="364"/>
      <c r="R3" s="364"/>
      <c r="S3" s="364"/>
      <c r="T3" s="364"/>
      <c r="U3" s="364"/>
      <c r="V3" s="365"/>
      <c r="W3" s="143"/>
      <c r="X3" s="144"/>
      <c r="Y3" s="144"/>
      <c r="Z3" s="144"/>
      <c r="AA3" s="145"/>
      <c r="AB3" s="145"/>
      <c r="AC3" s="145"/>
      <c r="AD3" s="145"/>
      <c r="AE3" s="145"/>
      <c r="AF3" s="449"/>
      <c r="AG3" s="365"/>
      <c r="AH3" s="449"/>
      <c r="AI3" s="365"/>
      <c r="AJ3" s="452"/>
      <c r="AK3" s="365"/>
      <c r="AL3" s="291"/>
    </row>
    <row r="4" spans="1:38" ht="22.5" customHeight="1" x14ac:dyDescent="0.2">
      <c r="A4" s="15">
        <v>2</v>
      </c>
      <c r="B4" s="60"/>
      <c r="C4" s="388"/>
      <c r="D4" s="364"/>
      <c r="E4" s="364"/>
      <c r="F4" s="365"/>
      <c r="G4" s="142"/>
      <c r="H4" s="142"/>
      <c r="I4" s="142"/>
      <c r="J4" s="142"/>
      <c r="K4" s="142"/>
      <c r="L4" s="448"/>
      <c r="M4" s="364"/>
      <c r="N4" s="364"/>
      <c r="O4" s="364"/>
      <c r="P4" s="364"/>
      <c r="Q4" s="364"/>
      <c r="R4" s="364"/>
      <c r="S4" s="364"/>
      <c r="T4" s="364"/>
      <c r="U4" s="364"/>
      <c r="V4" s="365"/>
      <c r="W4" s="143"/>
      <c r="X4" s="144"/>
      <c r="Y4" s="144"/>
      <c r="Z4" s="144"/>
      <c r="AA4" s="145"/>
      <c r="AB4" s="145"/>
      <c r="AC4" s="145"/>
      <c r="AD4" s="145"/>
      <c r="AE4" s="145"/>
      <c r="AF4" s="449"/>
      <c r="AG4" s="365"/>
      <c r="AH4" s="449"/>
      <c r="AI4" s="365"/>
      <c r="AJ4" s="449"/>
      <c r="AK4" s="365"/>
      <c r="AL4" s="291"/>
    </row>
    <row r="5" spans="1:38" ht="22.5" customHeight="1" x14ac:dyDescent="0.2">
      <c r="A5" s="15">
        <v>3</v>
      </c>
      <c r="B5" s="60"/>
      <c r="C5" s="388"/>
      <c r="D5" s="364"/>
      <c r="E5" s="364"/>
      <c r="F5" s="365"/>
      <c r="G5" s="142"/>
      <c r="H5" s="142"/>
      <c r="I5" s="142"/>
      <c r="J5" s="142"/>
      <c r="K5" s="142"/>
      <c r="L5" s="448"/>
      <c r="M5" s="364"/>
      <c r="N5" s="364"/>
      <c r="O5" s="364"/>
      <c r="P5" s="364"/>
      <c r="Q5" s="364"/>
      <c r="R5" s="364"/>
      <c r="S5" s="364"/>
      <c r="T5" s="364"/>
      <c r="U5" s="364"/>
      <c r="V5" s="365"/>
      <c r="W5" s="143"/>
      <c r="X5" s="144"/>
      <c r="Y5" s="144"/>
      <c r="Z5" s="144"/>
      <c r="AA5" s="145"/>
      <c r="AB5" s="145"/>
      <c r="AC5" s="145"/>
      <c r="AD5" s="145"/>
      <c r="AE5" s="145"/>
      <c r="AF5" s="449"/>
      <c r="AG5" s="365"/>
      <c r="AH5" s="449"/>
      <c r="AI5" s="365"/>
      <c r="AJ5" s="449"/>
      <c r="AK5" s="365"/>
      <c r="AL5" s="291"/>
    </row>
    <row r="6" spans="1:38" ht="22.5" customHeight="1" x14ac:dyDescent="0.2">
      <c r="A6" s="15">
        <v>4</v>
      </c>
      <c r="B6" s="60"/>
      <c r="C6" s="388"/>
      <c r="D6" s="364"/>
      <c r="E6" s="364"/>
      <c r="F6" s="365"/>
      <c r="G6" s="142"/>
      <c r="H6" s="142"/>
      <c r="I6" s="142"/>
      <c r="J6" s="142"/>
      <c r="K6" s="142"/>
      <c r="L6" s="448"/>
      <c r="M6" s="364"/>
      <c r="N6" s="364"/>
      <c r="O6" s="364"/>
      <c r="P6" s="364"/>
      <c r="Q6" s="364"/>
      <c r="R6" s="364"/>
      <c r="S6" s="364"/>
      <c r="T6" s="364"/>
      <c r="U6" s="364"/>
      <c r="V6" s="365"/>
      <c r="W6" s="143"/>
      <c r="X6" s="144"/>
      <c r="Y6" s="144"/>
      <c r="Z6" s="144"/>
      <c r="AA6" s="145"/>
      <c r="AB6" s="145"/>
      <c r="AC6" s="145"/>
      <c r="AD6" s="145"/>
      <c r="AE6" s="145"/>
      <c r="AF6" s="449"/>
      <c r="AG6" s="365"/>
      <c r="AH6" s="449"/>
      <c r="AI6" s="365"/>
      <c r="AJ6" s="449"/>
      <c r="AK6" s="365"/>
      <c r="AL6" s="291"/>
    </row>
    <row r="7" spans="1:38" ht="22.5" customHeight="1" x14ac:dyDescent="0.2">
      <c r="A7" s="15">
        <v>5</v>
      </c>
      <c r="B7" s="60"/>
      <c r="C7" s="388"/>
      <c r="D7" s="364"/>
      <c r="E7" s="364"/>
      <c r="F7" s="365"/>
      <c r="G7" s="142"/>
      <c r="H7" s="142"/>
      <c r="I7" s="142"/>
      <c r="J7" s="142"/>
      <c r="K7" s="142"/>
      <c r="L7" s="448"/>
      <c r="M7" s="364"/>
      <c r="N7" s="364"/>
      <c r="O7" s="364"/>
      <c r="P7" s="364"/>
      <c r="Q7" s="364"/>
      <c r="R7" s="364"/>
      <c r="S7" s="364"/>
      <c r="T7" s="364"/>
      <c r="U7" s="364"/>
      <c r="V7" s="365"/>
      <c r="W7" s="143"/>
      <c r="X7" s="144"/>
      <c r="Y7" s="144"/>
      <c r="Z7" s="144"/>
      <c r="AA7" s="145"/>
      <c r="AB7" s="145"/>
      <c r="AC7" s="145"/>
      <c r="AD7" s="145"/>
      <c r="AE7" s="145"/>
      <c r="AF7" s="449"/>
      <c r="AG7" s="365"/>
      <c r="AH7" s="449"/>
      <c r="AI7" s="365"/>
      <c r="AJ7" s="449"/>
      <c r="AK7" s="365"/>
      <c r="AL7" s="291"/>
    </row>
    <row r="8" spans="1:38" ht="22.5" customHeight="1" x14ac:dyDescent="0.2">
      <c r="A8" s="15">
        <v>6</v>
      </c>
      <c r="B8" s="60"/>
      <c r="C8" s="388"/>
      <c r="D8" s="364"/>
      <c r="E8" s="364"/>
      <c r="F8" s="365"/>
      <c r="G8" s="142"/>
      <c r="H8" s="142"/>
      <c r="I8" s="142"/>
      <c r="J8" s="142"/>
      <c r="K8" s="142"/>
      <c r="L8" s="448"/>
      <c r="M8" s="364"/>
      <c r="N8" s="364"/>
      <c r="O8" s="364"/>
      <c r="P8" s="364"/>
      <c r="Q8" s="364"/>
      <c r="R8" s="364"/>
      <c r="S8" s="364"/>
      <c r="T8" s="364"/>
      <c r="U8" s="364"/>
      <c r="V8" s="365"/>
      <c r="W8" s="143"/>
      <c r="X8" s="144"/>
      <c r="Y8" s="144"/>
      <c r="Z8" s="144"/>
      <c r="AA8" s="145"/>
      <c r="AB8" s="145"/>
      <c r="AC8" s="145"/>
      <c r="AD8" s="145"/>
      <c r="AE8" s="145"/>
      <c r="AF8" s="449"/>
      <c r="AG8" s="365"/>
      <c r="AH8" s="449"/>
      <c r="AI8" s="365"/>
      <c r="AJ8" s="449"/>
      <c r="AK8" s="365"/>
      <c r="AL8" s="291"/>
    </row>
    <row r="9" spans="1:38" ht="22.5" customHeight="1" x14ac:dyDescent="0.2">
      <c r="A9" s="15">
        <v>7</v>
      </c>
      <c r="B9" s="60"/>
      <c r="C9" s="388"/>
      <c r="D9" s="364"/>
      <c r="E9" s="364"/>
      <c r="F9" s="365"/>
      <c r="G9" s="142"/>
      <c r="H9" s="142"/>
      <c r="I9" s="142"/>
      <c r="J9" s="142"/>
      <c r="K9" s="142"/>
      <c r="L9" s="448"/>
      <c r="M9" s="364"/>
      <c r="N9" s="364"/>
      <c r="O9" s="364"/>
      <c r="P9" s="364"/>
      <c r="Q9" s="364"/>
      <c r="R9" s="364"/>
      <c r="S9" s="364"/>
      <c r="T9" s="364"/>
      <c r="U9" s="364"/>
      <c r="V9" s="365"/>
      <c r="W9" s="143"/>
      <c r="X9" s="144"/>
      <c r="Y9" s="144"/>
      <c r="Z9" s="144"/>
      <c r="AA9" s="145"/>
      <c r="AB9" s="145"/>
      <c r="AC9" s="145"/>
      <c r="AD9" s="145"/>
      <c r="AE9" s="145"/>
      <c r="AF9" s="449"/>
      <c r="AG9" s="365"/>
      <c r="AH9" s="449"/>
      <c r="AI9" s="365"/>
      <c r="AJ9" s="449"/>
      <c r="AK9" s="365"/>
      <c r="AL9" s="291"/>
    </row>
    <row r="10" spans="1:38" ht="22.5" customHeight="1" x14ac:dyDescent="0.2">
      <c r="A10" s="15">
        <v>8</v>
      </c>
      <c r="B10" s="60"/>
      <c r="C10" s="388"/>
      <c r="D10" s="364"/>
      <c r="E10" s="364"/>
      <c r="F10" s="365"/>
      <c r="G10" s="142"/>
      <c r="H10" s="142"/>
      <c r="I10" s="142"/>
      <c r="J10" s="142"/>
      <c r="K10" s="142"/>
      <c r="L10" s="448"/>
      <c r="M10" s="364"/>
      <c r="N10" s="364"/>
      <c r="O10" s="364"/>
      <c r="P10" s="364"/>
      <c r="Q10" s="364"/>
      <c r="R10" s="364"/>
      <c r="S10" s="364"/>
      <c r="T10" s="364"/>
      <c r="U10" s="364"/>
      <c r="V10" s="365"/>
      <c r="W10" s="143"/>
      <c r="X10" s="144"/>
      <c r="Y10" s="144"/>
      <c r="Z10" s="144"/>
      <c r="AA10" s="145"/>
      <c r="AB10" s="145"/>
      <c r="AC10" s="145"/>
      <c r="AD10" s="145"/>
      <c r="AE10" s="145"/>
      <c r="AF10" s="449"/>
      <c r="AG10" s="365"/>
      <c r="AH10" s="449"/>
      <c r="AI10" s="365"/>
      <c r="AJ10" s="449"/>
      <c r="AK10" s="365"/>
      <c r="AL10" s="291"/>
    </row>
    <row r="11" spans="1:38" ht="22.5" customHeight="1" x14ac:dyDescent="0.2">
      <c r="A11" s="15">
        <v>9</v>
      </c>
      <c r="B11" s="60"/>
      <c r="C11" s="388"/>
      <c r="D11" s="364"/>
      <c r="E11" s="364"/>
      <c r="F11" s="365"/>
      <c r="G11" s="142"/>
      <c r="H11" s="142"/>
      <c r="I11" s="142"/>
      <c r="J11" s="142"/>
      <c r="K11" s="142"/>
      <c r="L11" s="448"/>
      <c r="M11" s="364"/>
      <c r="N11" s="364"/>
      <c r="O11" s="364"/>
      <c r="P11" s="364"/>
      <c r="Q11" s="364"/>
      <c r="R11" s="364"/>
      <c r="S11" s="364"/>
      <c r="T11" s="364"/>
      <c r="U11" s="364"/>
      <c r="V11" s="365"/>
      <c r="W11" s="143"/>
      <c r="X11" s="144"/>
      <c r="Y11" s="144"/>
      <c r="Z11" s="144"/>
      <c r="AA11" s="145"/>
      <c r="AB11" s="145"/>
      <c r="AC11" s="145"/>
      <c r="AD11" s="145"/>
      <c r="AE11" s="145"/>
      <c r="AF11" s="449"/>
      <c r="AG11" s="365"/>
      <c r="AH11" s="449"/>
      <c r="AI11" s="365"/>
      <c r="AJ11" s="449"/>
      <c r="AK11" s="365"/>
      <c r="AL11" s="291"/>
    </row>
    <row r="12" spans="1:38" ht="22.5" customHeight="1" x14ac:dyDescent="0.2">
      <c r="A12" s="15">
        <v>10</v>
      </c>
      <c r="B12" s="60"/>
      <c r="C12" s="388"/>
      <c r="D12" s="364"/>
      <c r="E12" s="364"/>
      <c r="F12" s="365"/>
      <c r="G12" s="142"/>
      <c r="H12" s="142"/>
      <c r="I12" s="142"/>
      <c r="J12" s="142"/>
      <c r="K12" s="142"/>
      <c r="L12" s="448"/>
      <c r="M12" s="364"/>
      <c r="N12" s="364"/>
      <c r="O12" s="364"/>
      <c r="P12" s="364"/>
      <c r="Q12" s="364"/>
      <c r="R12" s="364"/>
      <c r="S12" s="364"/>
      <c r="T12" s="364"/>
      <c r="U12" s="364"/>
      <c r="V12" s="365"/>
      <c r="W12" s="143"/>
      <c r="X12" s="144"/>
      <c r="Y12" s="144"/>
      <c r="Z12" s="144"/>
      <c r="AA12" s="145"/>
      <c r="AB12" s="145"/>
      <c r="AC12" s="145"/>
      <c r="AD12" s="145"/>
      <c r="AE12" s="145"/>
      <c r="AF12" s="449"/>
      <c r="AG12" s="365"/>
      <c r="AH12" s="449"/>
      <c r="AI12" s="365"/>
      <c r="AJ12" s="449"/>
      <c r="AK12" s="365"/>
      <c r="AL12" s="291"/>
    </row>
    <row r="13" spans="1:38" ht="22.5" customHeight="1" x14ac:dyDescent="0.2">
      <c r="A13" s="15">
        <v>11</v>
      </c>
      <c r="B13" s="60"/>
      <c r="C13" s="388"/>
      <c r="D13" s="364"/>
      <c r="E13" s="364"/>
      <c r="F13" s="365"/>
      <c r="G13" s="142"/>
      <c r="H13" s="142"/>
      <c r="I13" s="142"/>
      <c r="J13" s="142"/>
      <c r="K13" s="142"/>
      <c r="L13" s="448"/>
      <c r="M13" s="364"/>
      <c r="N13" s="364"/>
      <c r="O13" s="364"/>
      <c r="P13" s="364"/>
      <c r="Q13" s="364"/>
      <c r="R13" s="364"/>
      <c r="S13" s="364"/>
      <c r="T13" s="364"/>
      <c r="U13" s="364"/>
      <c r="V13" s="365"/>
      <c r="W13" s="143"/>
      <c r="X13" s="144"/>
      <c r="Y13" s="144"/>
      <c r="Z13" s="144"/>
      <c r="AA13" s="145"/>
      <c r="AB13" s="145"/>
      <c r="AC13" s="145"/>
      <c r="AD13" s="145"/>
      <c r="AE13" s="145"/>
      <c r="AF13" s="449"/>
      <c r="AG13" s="365"/>
      <c r="AH13" s="449"/>
      <c r="AI13" s="365"/>
      <c r="AJ13" s="449"/>
      <c r="AK13" s="365"/>
      <c r="AL13" s="291"/>
    </row>
    <row r="14" spans="1:38" ht="22.5" customHeight="1" x14ac:dyDescent="0.2">
      <c r="A14" s="15">
        <v>12</v>
      </c>
      <c r="B14" s="60"/>
      <c r="C14" s="388"/>
      <c r="D14" s="364"/>
      <c r="E14" s="364"/>
      <c r="F14" s="365"/>
      <c r="G14" s="142"/>
      <c r="H14" s="142"/>
      <c r="I14" s="142"/>
      <c r="J14" s="142"/>
      <c r="K14" s="142"/>
      <c r="L14" s="448"/>
      <c r="M14" s="364"/>
      <c r="N14" s="364"/>
      <c r="O14" s="364"/>
      <c r="P14" s="364"/>
      <c r="Q14" s="364"/>
      <c r="R14" s="364"/>
      <c r="S14" s="364"/>
      <c r="T14" s="364"/>
      <c r="U14" s="364"/>
      <c r="V14" s="365"/>
      <c r="W14" s="143"/>
      <c r="X14" s="144"/>
      <c r="Y14" s="144"/>
      <c r="Z14" s="144"/>
      <c r="AA14" s="145"/>
      <c r="AB14" s="145"/>
      <c r="AC14" s="145"/>
      <c r="AD14" s="145"/>
      <c r="AE14" s="145"/>
      <c r="AF14" s="449"/>
      <c r="AG14" s="365"/>
      <c r="AH14" s="449"/>
      <c r="AI14" s="365"/>
      <c r="AJ14" s="449"/>
      <c r="AK14" s="365"/>
      <c r="AL14" s="291"/>
    </row>
    <row r="15" spans="1:38" ht="22.5" customHeight="1" x14ac:dyDescent="0.2">
      <c r="A15" s="15">
        <v>13</v>
      </c>
      <c r="B15" s="60"/>
      <c r="C15" s="388"/>
      <c r="D15" s="364"/>
      <c r="E15" s="364"/>
      <c r="F15" s="365"/>
      <c r="G15" s="142"/>
      <c r="H15" s="142"/>
      <c r="I15" s="142"/>
      <c r="J15" s="142"/>
      <c r="K15" s="142"/>
      <c r="L15" s="448"/>
      <c r="M15" s="364"/>
      <c r="N15" s="364"/>
      <c r="O15" s="364"/>
      <c r="P15" s="364"/>
      <c r="Q15" s="364"/>
      <c r="R15" s="364"/>
      <c r="S15" s="364"/>
      <c r="T15" s="364"/>
      <c r="U15" s="364"/>
      <c r="V15" s="365"/>
      <c r="W15" s="143"/>
      <c r="X15" s="144"/>
      <c r="Y15" s="144"/>
      <c r="Z15" s="144"/>
      <c r="AA15" s="145"/>
      <c r="AB15" s="145"/>
      <c r="AC15" s="145"/>
      <c r="AD15" s="145"/>
      <c r="AE15" s="145"/>
      <c r="AF15" s="449"/>
      <c r="AG15" s="365"/>
      <c r="AH15" s="449"/>
      <c r="AI15" s="365"/>
      <c r="AJ15" s="449"/>
      <c r="AK15" s="365"/>
      <c r="AL15" s="291"/>
    </row>
    <row r="16" spans="1:38" ht="22.5" customHeight="1" x14ac:dyDescent="0.2">
      <c r="A16" s="15">
        <v>14</v>
      </c>
      <c r="B16" s="60"/>
      <c r="C16" s="388"/>
      <c r="D16" s="364"/>
      <c r="E16" s="364"/>
      <c r="F16" s="365"/>
      <c r="G16" s="142"/>
      <c r="H16" s="142"/>
      <c r="I16" s="142"/>
      <c r="J16" s="142"/>
      <c r="K16" s="142"/>
      <c r="L16" s="448"/>
      <c r="M16" s="364"/>
      <c r="N16" s="364"/>
      <c r="O16" s="364"/>
      <c r="P16" s="364"/>
      <c r="Q16" s="364"/>
      <c r="R16" s="364"/>
      <c r="S16" s="364"/>
      <c r="T16" s="364"/>
      <c r="U16" s="364"/>
      <c r="V16" s="365"/>
      <c r="W16" s="143"/>
      <c r="X16" s="144"/>
      <c r="Y16" s="144"/>
      <c r="Z16" s="144"/>
      <c r="AA16" s="145"/>
      <c r="AB16" s="145"/>
      <c r="AC16" s="145"/>
      <c r="AD16" s="145"/>
      <c r="AE16" s="145"/>
      <c r="AF16" s="449"/>
      <c r="AG16" s="365"/>
      <c r="AH16" s="449"/>
      <c r="AI16" s="365"/>
      <c r="AJ16" s="449"/>
      <c r="AK16" s="365"/>
      <c r="AL16" s="291"/>
    </row>
    <row r="17" spans="1:38" ht="22.5" customHeight="1" x14ac:dyDescent="0.2">
      <c r="A17" s="15">
        <v>15</v>
      </c>
      <c r="B17" s="60"/>
      <c r="C17" s="388"/>
      <c r="D17" s="364"/>
      <c r="E17" s="364"/>
      <c r="F17" s="365"/>
      <c r="G17" s="142"/>
      <c r="H17" s="142"/>
      <c r="I17" s="142"/>
      <c r="J17" s="142"/>
      <c r="K17" s="142"/>
      <c r="L17" s="448"/>
      <c r="M17" s="364"/>
      <c r="N17" s="364"/>
      <c r="O17" s="364"/>
      <c r="P17" s="364"/>
      <c r="Q17" s="364"/>
      <c r="R17" s="364"/>
      <c r="S17" s="364"/>
      <c r="T17" s="364"/>
      <c r="U17" s="364"/>
      <c r="V17" s="365"/>
      <c r="W17" s="143"/>
      <c r="X17" s="144"/>
      <c r="Y17" s="144"/>
      <c r="Z17" s="144"/>
      <c r="AA17" s="145"/>
      <c r="AB17" s="145"/>
      <c r="AC17" s="145"/>
      <c r="AD17" s="145"/>
      <c r="AE17" s="145"/>
      <c r="AF17" s="449"/>
      <c r="AG17" s="365"/>
      <c r="AH17" s="449"/>
      <c r="AI17" s="365"/>
      <c r="AJ17" s="449"/>
      <c r="AK17" s="365"/>
      <c r="AL17" s="291"/>
    </row>
    <row r="18" spans="1:38" ht="22.5" customHeight="1" x14ac:dyDescent="0.2">
      <c r="A18" s="15">
        <v>16</v>
      </c>
      <c r="B18" s="60"/>
      <c r="C18" s="388"/>
      <c r="D18" s="364"/>
      <c r="E18" s="364"/>
      <c r="F18" s="365"/>
      <c r="G18" s="142">
        <f t="shared" ref="G18:H18" si="0">IFERROR(#REF!,0)</f>
        <v>0</v>
      </c>
      <c r="H18" s="142">
        <f t="shared" si="0"/>
        <v>0</v>
      </c>
      <c r="I18" s="142">
        <f t="shared" ref="I18:K18" si="1">IFERROR(#REF!&amp;"+",0)</f>
        <v>0</v>
      </c>
      <c r="J18" s="142">
        <f t="shared" si="1"/>
        <v>0</v>
      </c>
      <c r="K18" s="142">
        <f t="shared" si="1"/>
        <v>0</v>
      </c>
      <c r="L18" s="448" t="str">
        <f>IFERROR((IF(#REF!="YES",(VLOOKUP(#REF!&amp;C18,Teams!D:M,7,0)&amp;#REF!),#REF!)),"")</f>
        <v/>
      </c>
      <c r="M18" s="364"/>
      <c r="N18" s="364"/>
      <c r="O18" s="364"/>
      <c r="P18" s="364"/>
      <c r="Q18" s="364"/>
      <c r="R18" s="364"/>
      <c r="S18" s="364"/>
      <c r="T18" s="364"/>
      <c r="U18" s="364"/>
      <c r="V18" s="365"/>
      <c r="W18" s="143"/>
      <c r="X18" s="144"/>
      <c r="Y18" s="144"/>
      <c r="Z18" s="144"/>
      <c r="AA18" s="145"/>
      <c r="AB18" s="145"/>
      <c r="AC18" s="145"/>
      <c r="AD18" s="145"/>
      <c r="AE18" s="145"/>
      <c r="AF18" s="449"/>
      <c r="AG18" s="365"/>
      <c r="AH18" s="449"/>
      <c r="AI18" s="365"/>
      <c r="AJ18" s="449"/>
      <c r="AK18" s="365"/>
      <c r="AL18" s="291"/>
    </row>
    <row r="19" spans="1:38" ht="22.5" customHeight="1" x14ac:dyDescent="0.2">
      <c r="A19" s="15">
        <v>17</v>
      </c>
      <c r="B19" s="60"/>
      <c r="C19" s="388"/>
      <c r="D19" s="364"/>
      <c r="E19" s="364"/>
      <c r="F19" s="365"/>
      <c r="G19" s="142">
        <f t="shared" ref="G19:H19" si="2">IFERROR(#REF!,0)</f>
        <v>0</v>
      </c>
      <c r="H19" s="142">
        <f t="shared" si="2"/>
        <v>0</v>
      </c>
      <c r="I19" s="142">
        <f t="shared" ref="I19:K19" si="3">IFERROR(#REF!&amp;"+",0)</f>
        <v>0</v>
      </c>
      <c r="J19" s="142">
        <f t="shared" si="3"/>
        <v>0</v>
      </c>
      <c r="K19" s="142">
        <f t="shared" si="3"/>
        <v>0</v>
      </c>
      <c r="L19" s="448" t="str">
        <f>IFERROR((IF(#REF!="YES",(VLOOKUP(#REF!&amp;C19,Teams!D:M,7,0)&amp;#REF!),#REF!)),"")</f>
        <v/>
      </c>
      <c r="M19" s="364"/>
      <c r="N19" s="364"/>
      <c r="O19" s="364"/>
      <c r="P19" s="364"/>
      <c r="Q19" s="364"/>
      <c r="R19" s="364"/>
      <c r="S19" s="364"/>
      <c r="T19" s="364"/>
      <c r="U19" s="364"/>
      <c r="V19" s="365"/>
      <c r="W19" s="143"/>
      <c r="X19" s="144"/>
      <c r="Y19" s="144"/>
      <c r="Z19" s="144"/>
      <c r="AA19" s="145"/>
      <c r="AB19" s="145"/>
      <c r="AC19" s="145"/>
      <c r="AD19" s="145"/>
      <c r="AE19" s="145"/>
      <c r="AF19" s="449"/>
      <c r="AG19" s="365"/>
      <c r="AH19" s="449"/>
      <c r="AI19" s="365"/>
      <c r="AJ19" s="449"/>
      <c r="AK19" s="365"/>
      <c r="AL19" s="291"/>
    </row>
    <row r="20" spans="1:38" ht="22.5" customHeight="1" x14ac:dyDescent="0.2">
      <c r="A20" s="15">
        <v>18</v>
      </c>
      <c r="B20" s="60"/>
      <c r="C20" s="388"/>
      <c r="D20" s="364"/>
      <c r="E20" s="364"/>
      <c r="F20" s="365"/>
      <c r="G20" s="142">
        <f t="shared" ref="G20:H20" si="4">IFERROR(#REF!,0)</f>
        <v>0</v>
      </c>
      <c r="H20" s="142">
        <f t="shared" si="4"/>
        <v>0</v>
      </c>
      <c r="I20" s="142">
        <f t="shared" ref="I20:K20" si="5">IFERROR(#REF!&amp;"+",0)</f>
        <v>0</v>
      </c>
      <c r="J20" s="142">
        <f t="shared" si="5"/>
        <v>0</v>
      </c>
      <c r="K20" s="142">
        <f t="shared" si="5"/>
        <v>0</v>
      </c>
      <c r="L20" s="448" t="str">
        <f>IFERROR((IF(#REF!="YES",(VLOOKUP(#REF!&amp;C20,Teams!D:M,7,0)&amp;#REF!),#REF!)),"")</f>
        <v/>
      </c>
      <c r="M20" s="364"/>
      <c r="N20" s="364"/>
      <c r="O20" s="364"/>
      <c r="P20" s="364"/>
      <c r="Q20" s="364"/>
      <c r="R20" s="364"/>
      <c r="S20" s="364"/>
      <c r="T20" s="364"/>
      <c r="U20" s="364"/>
      <c r="V20" s="365"/>
      <c r="W20" s="143"/>
      <c r="X20" s="144"/>
      <c r="Y20" s="144"/>
      <c r="Z20" s="144"/>
      <c r="AA20" s="145"/>
      <c r="AB20" s="145"/>
      <c r="AC20" s="145"/>
      <c r="AD20" s="145"/>
      <c r="AE20" s="145"/>
      <c r="AF20" s="449"/>
      <c r="AG20" s="365"/>
      <c r="AH20" s="449"/>
      <c r="AI20" s="365"/>
      <c r="AJ20" s="449"/>
      <c r="AK20" s="365"/>
      <c r="AL20" s="291"/>
    </row>
    <row r="21" spans="1:38" ht="22.5" customHeight="1" x14ac:dyDescent="0.2">
      <c r="A21" s="15">
        <v>19</v>
      </c>
      <c r="B21" s="60"/>
      <c r="C21" s="388"/>
      <c r="D21" s="364"/>
      <c r="E21" s="364"/>
      <c r="F21" s="365"/>
      <c r="G21" s="142">
        <f t="shared" ref="G21:H21" si="6">IFERROR(#REF!,0)</f>
        <v>0</v>
      </c>
      <c r="H21" s="142">
        <f t="shared" si="6"/>
        <v>0</v>
      </c>
      <c r="I21" s="142">
        <f t="shared" ref="I21:K21" si="7">IFERROR(#REF!&amp;"+",0)</f>
        <v>0</v>
      </c>
      <c r="J21" s="142">
        <f t="shared" si="7"/>
        <v>0</v>
      </c>
      <c r="K21" s="142">
        <f t="shared" si="7"/>
        <v>0</v>
      </c>
      <c r="L21" s="448" t="str">
        <f>IFERROR((IF(#REF!="YES",(VLOOKUP(#REF!&amp;C21,Teams!D:M,7,0)&amp;#REF!),#REF!)),"")</f>
        <v/>
      </c>
      <c r="M21" s="364"/>
      <c r="N21" s="364"/>
      <c r="O21" s="364"/>
      <c r="P21" s="364"/>
      <c r="Q21" s="364"/>
      <c r="R21" s="364"/>
      <c r="S21" s="364"/>
      <c r="T21" s="364"/>
      <c r="U21" s="364"/>
      <c r="V21" s="365"/>
      <c r="W21" s="143"/>
      <c r="X21" s="144"/>
      <c r="Y21" s="144"/>
      <c r="Z21" s="144"/>
      <c r="AA21" s="145"/>
      <c r="AB21" s="145"/>
      <c r="AC21" s="145"/>
      <c r="AD21" s="145"/>
      <c r="AE21" s="145"/>
      <c r="AF21" s="449"/>
      <c r="AG21" s="365"/>
      <c r="AH21" s="449"/>
      <c r="AI21" s="365"/>
      <c r="AJ21" s="449"/>
      <c r="AK21" s="365"/>
      <c r="AL21" s="291"/>
    </row>
    <row r="22" spans="1:38" ht="22.5" customHeight="1" x14ac:dyDescent="0.2">
      <c r="A22" s="15">
        <v>20</v>
      </c>
      <c r="B22" s="60"/>
      <c r="C22" s="388"/>
      <c r="D22" s="364"/>
      <c r="E22" s="364"/>
      <c r="F22" s="365"/>
      <c r="G22" s="142">
        <f t="shared" ref="G22:H22" si="8">IFERROR(#REF!,0)</f>
        <v>0</v>
      </c>
      <c r="H22" s="142">
        <f t="shared" si="8"/>
        <v>0</v>
      </c>
      <c r="I22" s="142">
        <f t="shared" ref="I22:K22" si="9">IFERROR(#REF!&amp;"+",0)</f>
        <v>0</v>
      </c>
      <c r="J22" s="142">
        <f t="shared" si="9"/>
        <v>0</v>
      </c>
      <c r="K22" s="142">
        <f t="shared" si="9"/>
        <v>0</v>
      </c>
      <c r="L22" s="448" t="str">
        <f>IFERROR((IF(#REF!="YES",(VLOOKUP(#REF!&amp;C22,Teams!D:M,7,0)&amp;#REF!),#REF!)),"")</f>
        <v/>
      </c>
      <c r="M22" s="364"/>
      <c r="N22" s="364"/>
      <c r="O22" s="364"/>
      <c r="P22" s="364"/>
      <c r="Q22" s="364"/>
      <c r="R22" s="364"/>
      <c r="S22" s="364"/>
      <c r="T22" s="364"/>
      <c r="U22" s="364"/>
      <c r="V22" s="365"/>
      <c r="W22" s="143"/>
      <c r="X22" s="144"/>
      <c r="Y22" s="144"/>
      <c r="Z22" s="144"/>
      <c r="AA22" s="145"/>
      <c r="AB22" s="145"/>
      <c r="AC22" s="145"/>
      <c r="AD22" s="145"/>
      <c r="AE22" s="145"/>
      <c r="AF22" s="449"/>
      <c r="AG22" s="365"/>
      <c r="AH22" s="449"/>
      <c r="AI22" s="365"/>
      <c r="AJ22" s="449"/>
      <c r="AK22" s="365"/>
      <c r="AL22" s="291"/>
    </row>
    <row r="23" spans="1:38" ht="22.5" customHeight="1" x14ac:dyDescent="0.2">
      <c r="A23" s="15">
        <v>21</v>
      </c>
      <c r="B23" s="60"/>
      <c r="C23" s="388"/>
      <c r="D23" s="364"/>
      <c r="E23" s="364"/>
      <c r="F23" s="365"/>
      <c r="G23" s="142">
        <f t="shared" ref="G23:H23" si="10">IFERROR(#REF!,0)</f>
        <v>0</v>
      </c>
      <c r="H23" s="142">
        <f t="shared" si="10"/>
        <v>0</v>
      </c>
      <c r="I23" s="142">
        <f t="shared" ref="I23:K23" si="11">IFERROR(#REF!&amp;"+",0)</f>
        <v>0</v>
      </c>
      <c r="J23" s="142">
        <f t="shared" si="11"/>
        <v>0</v>
      </c>
      <c r="K23" s="142">
        <f t="shared" si="11"/>
        <v>0</v>
      </c>
      <c r="L23" s="448" t="str">
        <f>IFERROR((IF(#REF!="YES",(VLOOKUP(#REF!&amp;C23,Teams!D:M,7,0)&amp;#REF!),#REF!)),"")</f>
        <v/>
      </c>
      <c r="M23" s="364"/>
      <c r="N23" s="364"/>
      <c r="O23" s="364"/>
      <c r="P23" s="364"/>
      <c r="Q23" s="364"/>
      <c r="R23" s="364"/>
      <c r="S23" s="364"/>
      <c r="T23" s="364"/>
      <c r="U23" s="364"/>
      <c r="V23" s="365"/>
      <c r="W23" s="143"/>
      <c r="X23" s="144"/>
      <c r="Y23" s="144"/>
      <c r="Z23" s="144"/>
      <c r="AA23" s="145"/>
      <c r="AB23" s="145"/>
      <c r="AC23" s="145"/>
      <c r="AD23" s="145"/>
      <c r="AE23" s="145"/>
      <c r="AF23" s="449"/>
      <c r="AG23" s="365"/>
      <c r="AH23" s="449"/>
      <c r="AI23" s="365"/>
      <c r="AJ23" s="449"/>
      <c r="AK23" s="365"/>
      <c r="AL23" s="291"/>
    </row>
    <row r="24" spans="1:38" ht="22.5" customHeight="1" x14ac:dyDescent="0.2">
      <c r="A24" s="15">
        <v>22</v>
      </c>
      <c r="B24" s="60"/>
      <c r="C24" s="388"/>
      <c r="D24" s="364"/>
      <c r="E24" s="364"/>
      <c r="F24" s="365"/>
      <c r="G24" s="142">
        <f t="shared" ref="G24:H24" si="12">IFERROR(#REF!,0)</f>
        <v>0</v>
      </c>
      <c r="H24" s="142">
        <f t="shared" si="12"/>
        <v>0</v>
      </c>
      <c r="I24" s="142">
        <f t="shared" ref="I24:K24" si="13">IFERROR(#REF!&amp;"+",0)</f>
        <v>0</v>
      </c>
      <c r="J24" s="142">
        <f t="shared" si="13"/>
        <v>0</v>
      </c>
      <c r="K24" s="142">
        <f t="shared" si="13"/>
        <v>0</v>
      </c>
      <c r="L24" s="448" t="str">
        <f>IFERROR((IF(#REF!="YES",(VLOOKUP(#REF!&amp;C24,Teams!D:M,7,0)&amp;#REF!),#REF!)),"")</f>
        <v/>
      </c>
      <c r="M24" s="364"/>
      <c r="N24" s="364"/>
      <c r="O24" s="364"/>
      <c r="P24" s="364"/>
      <c r="Q24" s="364"/>
      <c r="R24" s="364"/>
      <c r="S24" s="364"/>
      <c r="T24" s="364"/>
      <c r="U24" s="364"/>
      <c r="V24" s="365"/>
      <c r="W24" s="143"/>
      <c r="X24" s="144"/>
      <c r="Y24" s="144"/>
      <c r="Z24" s="144"/>
      <c r="AA24" s="145"/>
      <c r="AB24" s="145"/>
      <c r="AC24" s="145"/>
      <c r="AD24" s="145"/>
      <c r="AE24" s="145"/>
      <c r="AF24" s="449"/>
      <c r="AG24" s="365"/>
      <c r="AH24" s="449"/>
      <c r="AI24" s="365"/>
      <c r="AJ24" s="449"/>
      <c r="AK24" s="365"/>
      <c r="AL24" s="291"/>
    </row>
    <row r="25" spans="1:38" ht="22.5" customHeight="1" x14ac:dyDescent="0.2">
      <c r="A25" s="15">
        <v>23</v>
      </c>
      <c r="B25" s="60"/>
      <c r="C25" s="388"/>
      <c r="D25" s="364"/>
      <c r="E25" s="364"/>
      <c r="F25" s="365"/>
      <c r="G25" s="142">
        <f t="shared" ref="G25:H25" si="14">IFERROR(#REF!,0)</f>
        <v>0</v>
      </c>
      <c r="H25" s="142">
        <f t="shared" si="14"/>
        <v>0</v>
      </c>
      <c r="I25" s="142">
        <f t="shared" ref="I25:K25" si="15">IFERROR(#REF!&amp;"+",0)</f>
        <v>0</v>
      </c>
      <c r="J25" s="142">
        <f t="shared" si="15"/>
        <v>0</v>
      </c>
      <c r="K25" s="142">
        <f t="shared" si="15"/>
        <v>0</v>
      </c>
      <c r="L25" s="448" t="str">
        <f>IFERROR((IF(#REF!="YES",(VLOOKUP(#REF!&amp;C25,Teams!D:M,7,0)&amp;#REF!),#REF!)),"")</f>
        <v/>
      </c>
      <c r="M25" s="364"/>
      <c r="N25" s="364"/>
      <c r="O25" s="364"/>
      <c r="P25" s="364"/>
      <c r="Q25" s="364"/>
      <c r="R25" s="364"/>
      <c r="S25" s="364"/>
      <c r="T25" s="364"/>
      <c r="U25" s="364"/>
      <c r="V25" s="365"/>
      <c r="W25" s="143"/>
      <c r="X25" s="144"/>
      <c r="Y25" s="144"/>
      <c r="Z25" s="144"/>
      <c r="AA25" s="145"/>
      <c r="AB25" s="145"/>
      <c r="AC25" s="145"/>
      <c r="AD25" s="145"/>
      <c r="AE25" s="145"/>
      <c r="AF25" s="449"/>
      <c r="AG25" s="365"/>
      <c r="AH25" s="449"/>
      <c r="AI25" s="365"/>
      <c r="AJ25" s="449"/>
      <c r="AK25" s="365"/>
      <c r="AL25" s="291"/>
    </row>
    <row r="26" spans="1:38" ht="22.5" customHeight="1" x14ac:dyDescent="0.2">
      <c r="A26" s="15">
        <v>24</v>
      </c>
      <c r="B26" s="60"/>
      <c r="C26" s="388"/>
      <c r="D26" s="364"/>
      <c r="E26" s="364"/>
      <c r="F26" s="365"/>
      <c r="G26" s="142">
        <f t="shared" ref="G26:H26" si="16">IFERROR(#REF!,0)</f>
        <v>0</v>
      </c>
      <c r="H26" s="142">
        <f t="shared" si="16"/>
        <v>0</v>
      </c>
      <c r="I26" s="142">
        <f t="shared" ref="I26:K26" si="17">IFERROR(#REF!&amp;"+",0)</f>
        <v>0</v>
      </c>
      <c r="J26" s="142">
        <f t="shared" si="17"/>
        <v>0</v>
      </c>
      <c r="K26" s="142">
        <f t="shared" si="17"/>
        <v>0</v>
      </c>
      <c r="L26" s="448" t="str">
        <f>IFERROR((IF(#REF!="YES",(VLOOKUP(#REF!&amp;C26,Teams!D:M,7,0)&amp;#REF!),#REF!)),"")</f>
        <v/>
      </c>
      <c r="M26" s="364"/>
      <c r="N26" s="364"/>
      <c r="O26" s="364"/>
      <c r="P26" s="364"/>
      <c r="Q26" s="364"/>
      <c r="R26" s="364"/>
      <c r="S26" s="364"/>
      <c r="T26" s="364"/>
      <c r="U26" s="364"/>
      <c r="V26" s="365"/>
      <c r="W26" s="143"/>
      <c r="X26" s="144"/>
      <c r="Y26" s="144"/>
      <c r="Z26" s="144"/>
      <c r="AA26" s="145"/>
      <c r="AB26" s="145"/>
      <c r="AC26" s="145"/>
      <c r="AD26" s="145"/>
      <c r="AE26" s="145"/>
      <c r="AF26" s="449"/>
      <c r="AG26" s="365"/>
      <c r="AH26" s="449"/>
      <c r="AI26" s="365"/>
      <c r="AJ26" s="449"/>
      <c r="AK26" s="365"/>
      <c r="AL26" s="291"/>
    </row>
    <row r="27" spans="1:38" ht="22.5" customHeight="1" x14ac:dyDescent="0.2">
      <c r="A27" s="15">
        <v>25</v>
      </c>
      <c r="B27" s="60"/>
      <c r="C27" s="388"/>
      <c r="D27" s="364"/>
      <c r="E27" s="364"/>
      <c r="F27" s="365"/>
      <c r="G27" s="142">
        <f t="shared" ref="G27:H27" si="18">IFERROR(#REF!,0)</f>
        <v>0</v>
      </c>
      <c r="H27" s="142">
        <f t="shared" si="18"/>
        <v>0</v>
      </c>
      <c r="I27" s="142">
        <f t="shared" ref="I27:K27" si="19">IFERROR(#REF!&amp;"+",0)</f>
        <v>0</v>
      </c>
      <c r="J27" s="142">
        <f t="shared" si="19"/>
        <v>0</v>
      </c>
      <c r="K27" s="142">
        <f t="shared" si="19"/>
        <v>0</v>
      </c>
      <c r="L27" s="448" t="str">
        <f>IFERROR((IF(#REF!="YES",(VLOOKUP(#REF!&amp;C27,Teams!D:M,7,0)&amp;#REF!),#REF!)),"")</f>
        <v/>
      </c>
      <c r="M27" s="364"/>
      <c r="N27" s="364"/>
      <c r="O27" s="364"/>
      <c r="P27" s="364"/>
      <c r="Q27" s="364"/>
      <c r="R27" s="364"/>
      <c r="S27" s="364"/>
      <c r="T27" s="364"/>
      <c r="U27" s="364"/>
      <c r="V27" s="365"/>
      <c r="W27" s="143"/>
      <c r="X27" s="144"/>
      <c r="Y27" s="144"/>
      <c r="Z27" s="144"/>
      <c r="AA27" s="145"/>
      <c r="AB27" s="145"/>
      <c r="AC27" s="145"/>
      <c r="AD27" s="145"/>
      <c r="AE27" s="145"/>
      <c r="AF27" s="449"/>
      <c r="AG27" s="365"/>
      <c r="AH27" s="449"/>
      <c r="AI27" s="365"/>
      <c r="AJ27" s="449"/>
      <c r="AK27" s="365"/>
      <c r="AL27" s="291"/>
    </row>
    <row r="28" spans="1:38" ht="22.5" customHeight="1" x14ac:dyDescent="0.2">
      <c r="A28" s="15">
        <v>26</v>
      </c>
      <c r="B28" s="60"/>
      <c r="C28" s="388"/>
      <c r="D28" s="364"/>
      <c r="E28" s="364"/>
      <c r="F28" s="365"/>
      <c r="G28" s="142">
        <f t="shared" ref="G28:H28" si="20">IFERROR(#REF!,0)</f>
        <v>0</v>
      </c>
      <c r="H28" s="142">
        <f t="shared" si="20"/>
        <v>0</v>
      </c>
      <c r="I28" s="142">
        <f t="shared" ref="I28:K28" si="21">IFERROR(#REF!&amp;"+",0)</f>
        <v>0</v>
      </c>
      <c r="J28" s="142">
        <f t="shared" si="21"/>
        <v>0</v>
      </c>
      <c r="K28" s="142">
        <f t="shared" si="21"/>
        <v>0</v>
      </c>
      <c r="L28" s="448" t="str">
        <f>IFERROR((IF(#REF!="YES",(VLOOKUP(#REF!&amp;C28,Teams!D:M,7,0)&amp;#REF!),#REF!)),"")</f>
        <v/>
      </c>
      <c r="M28" s="364"/>
      <c r="N28" s="364"/>
      <c r="O28" s="364"/>
      <c r="P28" s="364"/>
      <c r="Q28" s="364"/>
      <c r="R28" s="364"/>
      <c r="S28" s="364"/>
      <c r="T28" s="364"/>
      <c r="U28" s="364"/>
      <c r="V28" s="365"/>
      <c r="W28" s="143"/>
      <c r="X28" s="144"/>
      <c r="Y28" s="144"/>
      <c r="Z28" s="144"/>
      <c r="AA28" s="145"/>
      <c r="AB28" s="145"/>
      <c r="AC28" s="145"/>
      <c r="AD28" s="145"/>
      <c r="AE28" s="145"/>
      <c r="AF28" s="449"/>
      <c r="AG28" s="365"/>
      <c r="AH28" s="449"/>
      <c r="AI28" s="365"/>
      <c r="AJ28" s="449"/>
      <c r="AK28" s="365"/>
      <c r="AL28" s="291"/>
    </row>
    <row r="29" spans="1:38" ht="22.5" customHeight="1" x14ac:dyDescent="0.2">
      <c r="A29" s="15">
        <v>27</v>
      </c>
      <c r="B29" s="60"/>
      <c r="C29" s="388"/>
      <c r="D29" s="364"/>
      <c r="E29" s="364"/>
      <c r="F29" s="365"/>
      <c r="G29" s="142">
        <f t="shared" ref="G29:H29" si="22">IFERROR(#REF!,0)</f>
        <v>0</v>
      </c>
      <c r="H29" s="142">
        <f t="shared" si="22"/>
        <v>0</v>
      </c>
      <c r="I29" s="142">
        <f t="shared" ref="I29:K29" si="23">IFERROR(#REF!&amp;"+",0)</f>
        <v>0</v>
      </c>
      <c r="J29" s="142">
        <f t="shared" si="23"/>
        <v>0</v>
      </c>
      <c r="K29" s="142">
        <f t="shared" si="23"/>
        <v>0</v>
      </c>
      <c r="L29" s="448" t="str">
        <f>IFERROR((IF(#REF!="YES",(VLOOKUP(#REF!&amp;C29,Teams!D:M,7,0)&amp;#REF!),#REF!)),"")</f>
        <v/>
      </c>
      <c r="M29" s="364"/>
      <c r="N29" s="364"/>
      <c r="O29" s="364"/>
      <c r="P29" s="364"/>
      <c r="Q29" s="364"/>
      <c r="R29" s="364"/>
      <c r="S29" s="364"/>
      <c r="T29" s="364"/>
      <c r="U29" s="364"/>
      <c r="V29" s="365"/>
      <c r="W29" s="143"/>
      <c r="X29" s="144"/>
      <c r="Y29" s="144"/>
      <c r="Z29" s="144"/>
      <c r="AA29" s="145"/>
      <c r="AB29" s="145"/>
      <c r="AC29" s="145"/>
      <c r="AD29" s="145"/>
      <c r="AE29" s="145"/>
      <c r="AF29" s="449"/>
      <c r="AG29" s="365"/>
      <c r="AH29" s="449"/>
      <c r="AI29" s="365"/>
      <c r="AJ29" s="449"/>
      <c r="AK29" s="365"/>
      <c r="AL29" s="291"/>
    </row>
    <row r="30" spans="1:38" ht="22.5" customHeight="1" x14ac:dyDescent="0.2">
      <c r="A30" s="15">
        <v>28</v>
      </c>
      <c r="B30" s="60"/>
      <c r="C30" s="388"/>
      <c r="D30" s="364"/>
      <c r="E30" s="364"/>
      <c r="F30" s="365"/>
      <c r="G30" s="142">
        <f t="shared" ref="G30:H30" si="24">IFERROR(#REF!,0)</f>
        <v>0</v>
      </c>
      <c r="H30" s="142">
        <f t="shared" si="24"/>
        <v>0</v>
      </c>
      <c r="I30" s="142">
        <f t="shared" ref="I30:K30" si="25">IFERROR(#REF!&amp;"+",0)</f>
        <v>0</v>
      </c>
      <c r="J30" s="142">
        <f t="shared" si="25"/>
        <v>0</v>
      </c>
      <c r="K30" s="142">
        <f t="shared" si="25"/>
        <v>0</v>
      </c>
      <c r="L30" s="448" t="str">
        <f>IFERROR((IF(#REF!="YES",(VLOOKUP(#REF!&amp;C30,Teams!D:M,7,0)&amp;#REF!),#REF!)),"")</f>
        <v/>
      </c>
      <c r="M30" s="364"/>
      <c r="N30" s="364"/>
      <c r="O30" s="364"/>
      <c r="P30" s="364"/>
      <c r="Q30" s="364"/>
      <c r="R30" s="364"/>
      <c r="S30" s="364"/>
      <c r="T30" s="364"/>
      <c r="U30" s="364"/>
      <c r="V30" s="365"/>
      <c r="W30" s="143"/>
      <c r="X30" s="144"/>
      <c r="Y30" s="144"/>
      <c r="Z30" s="144"/>
      <c r="AA30" s="145"/>
      <c r="AB30" s="145"/>
      <c r="AC30" s="145"/>
      <c r="AD30" s="145"/>
      <c r="AE30" s="145"/>
      <c r="AF30" s="449"/>
      <c r="AG30" s="365"/>
      <c r="AH30" s="449"/>
      <c r="AI30" s="365"/>
      <c r="AJ30" s="449"/>
      <c r="AK30" s="365"/>
      <c r="AL30" s="291"/>
    </row>
    <row r="31" spans="1:38" ht="22.5" customHeight="1" x14ac:dyDescent="0.2">
      <c r="A31" s="15">
        <v>29</v>
      </c>
      <c r="B31" s="60"/>
      <c r="C31" s="388"/>
      <c r="D31" s="364"/>
      <c r="E31" s="364"/>
      <c r="F31" s="365"/>
      <c r="G31" s="142">
        <f t="shared" ref="G31:H31" si="26">IFERROR(#REF!,0)</f>
        <v>0</v>
      </c>
      <c r="H31" s="142">
        <f t="shared" si="26"/>
        <v>0</v>
      </c>
      <c r="I31" s="142">
        <f t="shared" ref="I31:K31" si="27">IFERROR(#REF!&amp;"+",0)</f>
        <v>0</v>
      </c>
      <c r="J31" s="142">
        <f t="shared" si="27"/>
        <v>0</v>
      </c>
      <c r="K31" s="142">
        <f t="shared" si="27"/>
        <v>0</v>
      </c>
      <c r="L31" s="448" t="str">
        <f>IFERROR((IF(#REF!="YES",(VLOOKUP(#REF!&amp;C31,Teams!D:M,7,0)&amp;#REF!),#REF!)),"")</f>
        <v/>
      </c>
      <c r="M31" s="364"/>
      <c r="N31" s="364"/>
      <c r="O31" s="364"/>
      <c r="P31" s="364"/>
      <c r="Q31" s="364"/>
      <c r="R31" s="364"/>
      <c r="S31" s="364"/>
      <c r="T31" s="364"/>
      <c r="U31" s="364"/>
      <c r="V31" s="365"/>
      <c r="W31" s="143"/>
      <c r="X31" s="144"/>
      <c r="Y31" s="144"/>
      <c r="Z31" s="144"/>
      <c r="AA31" s="145"/>
      <c r="AB31" s="145"/>
      <c r="AC31" s="145"/>
      <c r="AD31" s="145"/>
      <c r="AE31" s="145"/>
      <c r="AF31" s="449"/>
      <c r="AG31" s="365"/>
      <c r="AH31" s="449"/>
      <c r="AI31" s="365"/>
      <c r="AJ31" s="449"/>
      <c r="AK31" s="365"/>
      <c r="AL31" s="291"/>
    </row>
    <row r="32" spans="1:38" ht="22.5" customHeight="1" x14ac:dyDescent="0.2">
      <c r="A32" s="15">
        <v>30</v>
      </c>
      <c r="B32" s="60"/>
      <c r="C32" s="388"/>
      <c r="D32" s="364"/>
      <c r="E32" s="364"/>
      <c r="F32" s="365"/>
      <c r="G32" s="142">
        <f t="shared" ref="G32:H32" si="28">IFERROR(#REF!,0)</f>
        <v>0</v>
      </c>
      <c r="H32" s="142">
        <f t="shared" si="28"/>
        <v>0</v>
      </c>
      <c r="I32" s="142">
        <f t="shared" ref="I32:K32" si="29">IFERROR(#REF!&amp;"+",0)</f>
        <v>0</v>
      </c>
      <c r="J32" s="142">
        <f t="shared" si="29"/>
        <v>0</v>
      </c>
      <c r="K32" s="142">
        <f t="shared" si="29"/>
        <v>0</v>
      </c>
      <c r="L32" s="448" t="str">
        <f>IFERROR((IF(#REF!="YES",(VLOOKUP(#REF!&amp;C32,Teams!D:M,7,0)&amp;#REF!),#REF!)),"")</f>
        <v/>
      </c>
      <c r="M32" s="364"/>
      <c r="N32" s="364"/>
      <c r="O32" s="364"/>
      <c r="P32" s="364"/>
      <c r="Q32" s="364"/>
      <c r="R32" s="364"/>
      <c r="S32" s="364"/>
      <c r="T32" s="364"/>
      <c r="U32" s="364"/>
      <c r="V32" s="365"/>
      <c r="W32" s="143"/>
      <c r="X32" s="144"/>
      <c r="Y32" s="144"/>
      <c r="Z32" s="144"/>
      <c r="AA32" s="145"/>
      <c r="AB32" s="145"/>
      <c r="AC32" s="145"/>
      <c r="AD32" s="145"/>
      <c r="AE32" s="145"/>
      <c r="AF32" s="449"/>
      <c r="AG32" s="365"/>
      <c r="AH32" s="449"/>
      <c r="AI32" s="365"/>
      <c r="AJ32" s="449"/>
      <c r="AK32" s="365"/>
      <c r="AL32" s="451"/>
    </row>
    <row r="33" spans="1:38" ht="15" customHeight="1" x14ac:dyDescent="0.2">
      <c r="A33" s="453"/>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62" t="str">
        <f>IF(Roster!$K$25="Italiano","MERCENARIO 1",(IF(Roster!$K$25="Español","MERCENARIO 1",(IF(Roster!$K$25="Français","MERCENAIRE 1","MERCENARY 1")))))</f>
        <v>MERCENARY 1</v>
      </c>
      <c r="B1" s="462"/>
      <c r="C1" s="462"/>
      <c r="D1" s="462"/>
      <c r="E1" s="462"/>
      <c r="F1" s="462"/>
      <c r="G1" s="462"/>
      <c r="H1" s="462"/>
      <c r="I1" s="462"/>
      <c r="J1" s="462"/>
      <c r="K1" s="462"/>
      <c r="L1" s="462"/>
      <c r="M1" s="462"/>
      <c r="N1" s="462"/>
      <c r="O1" s="462"/>
      <c r="P1" s="462"/>
      <c r="Q1" s="462"/>
      <c r="R1" s="462"/>
      <c r="S1" s="462"/>
      <c r="T1" s="455"/>
    </row>
    <row r="2" spans="1:57" s="13" customFormat="1" ht="22.5" customHeight="1" x14ac:dyDescent="0.2">
      <c r="A2" s="279" t="str">
        <f>IF(Roster!$K$25="Italiano","MERCENARIO 1",(IF(Roster!$K$25="Español","MERCENARIO 1",(IF(Roster!$K$25="Français","MERCENAIRE 1","MERCENARY 1")))))</f>
        <v>MERCENARY 1</v>
      </c>
      <c r="B2" s="279" t="str">
        <f>IF(Roster!$K$25="Italiano","TIPO",(IF(Roster!$K$25="Español","TIPO",(IF(Roster!$K$25="Deutsch","POSITION",(IF(Roster!$K$25="Français","POSTE","TYPE")))))))</f>
        <v>TYPE</v>
      </c>
      <c r="C2" s="279" t="str">
        <f>IF(Roster!$K$25="Español","MO",(IF(Roster!$K$25="Deutsch","BE",(IF(Roster!$K$25="Français","M","MA")))))</f>
        <v>MA</v>
      </c>
      <c r="D2" s="279" t="str">
        <f>IF(Roster!$K$25="Español","FU",(IF(Roster!$K$25="Français","F","ST")))</f>
        <v>ST</v>
      </c>
      <c r="E2" s="279" t="str">
        <f>IF(Roster!$K$25="Deutsch","GE","AG")</f>
        <v>AG</v>
      </c>
      <c r="F2" s="279" t="str">
        <f>IF(Roster!$K$25="Deutsch","WG",(IF(Roster!$K$25="Français","CP","PA")))</f>
        <v>PA</v>
      </c>
      <c r="G2" s="279" t="str">
        <f>IF(Roster!$K$25="Español","AR",(IF(Roster!$K$25="Deutsch","RW",(IF(Roster!$K$25="Français","AR","AV")))))</f>
        <v>AV</v>
      </c>
      <c r="H2" s="465" t="str">
        <f>IF(Roster!$K$25="Italiano","ABILITÀ",(IF(Roster!$K$25="Español","HABILIDADES",(IF(Roster!$K$25="Deutsch","FERTIGKEITEN",(IF(Roster!$K$25="Français","COMPÉTENCES","SKILLS")))))))</f>
        <v>SKILLS</v>
      </c>
      <c r="I2" s="466"/>
      <c r="J2" s="466"/>
      <c r="K2" s="466"/>
      <c r="L2" s="466"/>
      <c r="M2" s="466"/>
      <c r="N2" s="466"/>
      <c r="O2" s="466"/>
      <c r="P2" s="466"/>
      <c r="Q2" s="466"/>
      <c r="R2" s="467"/>
      <c r="S2" s="279" t="str">
        <f>IF(Roster!$K$25="Italiano","COSTO",(IF(Roster!$K$25="Español","PRECIO",(IF(Roster!$K$25="Deutsch","WERT",(IF(Roster!$K$25="Français","VALEUR","COST")))))))</f>
        <v>COST</v>
      </c>
      <c r="T2" s="455"/>
      <c r="V2" s="229" t="s">
        <v>261</v>
      </c>
      <c r="W2" s="230" t="s">
        <v>206</v>
      </c>
      <c r="X2" s="231"/>
      <c r="Y2" s="229" t="s">
        <v>1266</v>
      </c>
      <c r="Z2" s="232"/>
      <c r="AA2" s="232"/>
      <c r="AB2" s="230"/>
      <c r="AC2" s="231"/>
      <c r="AD2" s="231"/>
      <c r="AE2" s="231"/>
      <c r="AF2" s="229" t="s">
        <v>1271</v>
      </c>
      <c r="AG2" s="232"/>
      <c r="AH2" s="232"/>
      <c r="AI2" s="230"/>
      <c r="AK2" s="457" t="s">
        <v>1311</v>
      </c>
      <c r="AL2" s="458"/>
      <c r="AM2" s="458"/>
      <c r="AN2" s="458"/>
      <c r="AO2" s="459"/>
      <c r="AP2" s="457" t="s">
        <v>1312</v>
      </c>
      <c r="AQ2" s="458"/>
      <c r="AR2" s="458"/>
      <c r="AS2" s="458"/>
      <c r="AT2" s="459"/>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3"/>
      <c r="B3" s="253" t="s">
        <v>1265</v>
      </c>
      <c r="C3" s="280" t="str">
        <f>IF((VLOOKUP(B3,Y5:AD10,2,FALSE))+J6+(IF(AE3="G",-2,0))+(IF(OR(AE3="O",AE3="N"),-1,0))=0,"",(VLOOKUP(B3,Y5:AD10,2,FALSE))+J6+(IF(AE3="G",-2,0))+(IF(OR(AE3="O",AE3="N"),-1,0)))</f>
        <v/>
      </c>
      <c r="D3" s="280" t="str">
        <f>IF((VLOOKUP(B3,Y5:AD10,3,FALSE))+L6+(IF(AE3="G",3,0))+(IF(OR(AE3="O",AE3="N"),2,0))=0,"",(VLOOKUP(B3,Y5:AD10,3,FALSE))+L6+(IF(AE3="G",3,0))+(IF(OR(AE3="O",AE3="N"),2,0)))</f>
        <v/>
      </c>
      <c r="E3" s="280" t="str">
        <f>IF((VLOOKUP(B3,Y5:AD10,4,FALSE)+N6+(IF(AE3="J",1,0)))=0,"",(VLOOKUP(B3,Y5:AD10,4,FALSE)+N6+(IF(AE3="J",1,0))&amp;"+"))</f>
        <v/>
      </c>
      <c r="F3" s="280" t="str">
        <f>IF((VLOOKUP(B3,Y5:AD10,5,FALSE)+P6)=0,"",(VLOOKUP(B3,Y5:AD10,5,FALSE)+P6&amp;"+"))</f>
        <v/>
      </c>
      <c r="G3" s="280" t="str">
        <f>IF((VLOOKUP(B3,Y5:AD10,6,FALSE)+R6)=0,"",(VLOOKUP(B3,Y5:AD10,6,FALSE)+R6&amp;"+"))</f>
        <v/>
      </c>
      <c r="H3" s="293" t="str">
        <f>Y3&amp;(IF(Z3&lt;&gt;"",", ",""))&amp;Z3&amp;(IF(AA3&lt;&gt;"",", ",""))&amp;AA3&amp;(IF(AB3&lt;&gt;"",", ",""))&amp;AB3&amp;(IF(AF3&lt;&gt;"",", ",""))&amp;AF3&amp;(IF(AG3&lt;&gt;"",", ",""))&amp;AG3&amp;(IF(AH3&lt;&gt;"",", ",""))&amp;AH3&amp;(IF(AI3&lt;&gt;"",", ",""))&amp;AI3&amp;AK8</f>
        <v/>
      </c>
      <c r="I3" s="294"/>
      <c r="J3" s="294"/>
      <c r="K3" s="294"/>
      <c r="L3" s="294"/>
      <c r="M3" s="294"/>
      <c r="N3" s="294"/>
      <c r="O3" s="294"/>
      <c r="P3" s="294"/>
      <c r="Q3" s="294"/>
      <c r="R3" s="295"/>
      <c r="S3" s="280">
        <f>(VLOOKUP(B3,Y5:AI10,11,FALSE))+W12</f>
        <v>0</v>
      </c>
      <c r="T3" s="455"/>
      <c r="V3" s="233"/>
      <c r="W3" s="234">
        <v>0</v>
      </c>
      <c r="X3" s="226"/>
      <c r="Y3" s="235" t="str">
        <f>VLOOKUP(B3,Y5:AH10,7,FALSE)</f>
        <v/>
      </c>
      <c r="Z3" s="236" t="str">
        <f>VLOOKUP(B3,Y5:AH10,8,FALSE)</f>
        <v/>
      </c>
      <c r="AA3" s="236" t="str">
        <f>VLOOKUP(B3,Y5:AH10,9,FALSE)</f>
        <v/>
      </c>
      <c r="AB3" s="237" t="str">
        <f>VLOOKUP(B3,Y5:AH10,10,FALSE)</f>
        <v/>
      </c>
      <c r="AC3" s="231"/>
      <c r="AD3" s="231"/>
      <c r="AE3" s="231" t="str">
        <f>IFERROR((VLOOKUP(A6,R41:W55,2,FALSE)),"")</f>
        <v/>
      </c>
      <c r="AF3" s="235" t="str">
        <f>IFERROR((VLOOKUP(A6,R41:W55,3,FALSE)),"")</f>
        <v/>
      </c>
      <c r="AG3" s="236" t="str">
        <f>IFERROR((VLOOKUP(A6,R41:W55,4,FALSE)),"")</f>
        <v/>
      </c>
      <c r="AH3" s="236" t="str">
        <f>IFERROR((VLOOKUP(A6,R41:W55,5,FALSE)),"")</f>
        <v/>
      </c>
      <c r="AI3" s="237" t="str">
        <f>IFERROR((VLOOKUP(A6,R41:W55,6,FALSE)),"")</f>
        <v/>
      </c>
      <c r="AK3" s="238">
        <v>0</v>
      </c>
      <c r="AL3" s="239">
        <v>0</v>
      </c>
      <c r="AM3" s="239">
        <v>0</v>
      </c>
      <c r="AN3" s="239">
        <v>0</v>
      </c>
      <c r="AO3" s="234">
        <v>0</v>
      </c>
      <c r="AP3" s="238">
        <v>0</v>
      </c>
      <c r="AQ3" s="239">
        <v>0</v>
      </c>
      <c r="AR3" s="239">
        <v>0</v>
      </c>
      <c r="AS3" s="239">
        <v>0</v>
      </c>
      <c r="AT3" s="234">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56" t="str">
        <f>IF(J40="Italiano","AVANZAMIENTO GIOCATORI",(IF(J40="Español","MEJORAS DEL JUGADORE",(IF(J40="Deutsch","SPIELERVERBESSERUNGEN",(IF(J40="Français","AMÉLIORATIONS DE JOUEUR","PLAYER UPGRADES")))))))</f>
        <v>PLAYER UPGRADES</v>
      </c>
      <c r="B4" s="456"/>
      <c r="C4" s="456"/>
      <c r="D4" s="456"/>
      <c r="E4" s="456"/>
      <c r="F4" s="456"/>
      <c r="G4" s="456"/>
      <c r="H4" s="456"/>
      <c r="I4" s="456"/>
      <c r="J4" s="456"/>
      <c r="K4" s="456"/>
      <c r="L4" s="456"/>
      <c r="M4" s="456"/>
      <c r="N4" s="456"/>
      <c r="O4" s="456"/>
      <c r="P4" s="456"/>
      <c r="Q4" s="456"/>
      <c r="R4" s="456"/>
      <c r="S4" s="456"/>
      <c r="T4" s="455"/>
      <c r="U4" s="9"/>
      <c r="V4" s="233" t="str">
        <f>IF($B$3="Stunty Superstar",C43,(IF($B$3="Legendary Linemen",F43,(IF($B$3="Brutal Blockers",I43,(IF($B$3="Reliable Ringers",L43,(IF($B$3="Bona Fide Big Guy",O43,"")))))))))</f>
        <v/>
      </c>
      <c r="W4" s="234" t="str">
        <f>IF($B$3="Stunty Superstar",D43,(IF($B$3="Legendary Linemen",G43,(IF($B$3="Brutal Blockers",J43,(IF($B$3="Reliable Ringers",M43,(IF($B$3="Bona Fide Big Guy",P43,"")))))))))</f>
        <v/>
      </c>
      <c r="X4" s="231"/>
      <c r="Y4" s="231"/>
      <c r="Z4" s="231"/>
      <c r="AA4" s="231"/>
      <c r="AB4" s="231"/>
      <c r="AC4" s="231"/>
      <c r="AD4" s="231"/>
      <c r="AE4" s="231"/>
      <c r="AF4" s="231"/>
      <c r="AG4" s="231"/>
      <c r="AH4" s="231"/>
      <c r="AI4" s="231"/>
      <c r="AK4" s="238">
        <v>1</v>
      </c>
      <c r="AL4" s="239">
        <v>0</v>
      </c>
      <c r="AM4" s="239">
        <f>IF(B3="Legendary Linemen",0,-1)</f>
        <v>-1</v>
      </c>
      <c r="AN4" s="239">
        <f>IF(B3="Brutal Blockers",0,-1)</f>
        <v>-1</v>
      </c>
      <c r="AO4" s="234">
        <v>1</v>
      </c>
      <c r="AP4" s="238">
        <f>IF(OR(B3="Legendary Linemen",B3="Bona Fide Big Guy"),20000,30000)</f>
        <v>30000</v>
      </c>
      <c r="AQ4" s="239">
        <v>0</v>
      </c>
      <c r="AR4" s="239">
        <f>IF(OR(B3="Stunty Superstar",B3="Bona Fide Big Guy"),40000,(IF(B3="Legendary Linemen",0,50000)))</f>
        <v>50000</v>
      </c>
      <c r="AS4" s="239">
        <f>IF(B3="Brutal Blockers",0,30000)</f>
        <v>30000</v>
      </c>
      <c r="AT4" s="234">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5" t="s">
        <v>1263</v>
      </c>
      <c r="B5" s="466"/>
      <c r="C5" s="466"/>
      <c r="D5" s="466"/>
      <c r="E5" s="466"/>
      <c r="F5" s="466"/>
      <c r="G5" s="466"/>
      <c r="H5" s="467"/>
      <c r="I5" s="279" t="str">
        <f>IF(Roster!$K$25="Italiano","COSTO",(IF(Roster!$K$25="Español","PRECIO",(IF(Roster!$K$25="Deutsch","WERT",(IF(Roster!$K$25="Français","VALEUR","COST")))))))</f>
        <v>COST</v>
      </c>
      <c r="J5" s="279" t="str">
        <f>IF(Roster!$K$25="Español","MO",(IF(Roster!$K$25="Deutsch","BE",(IF(Roster!$K$25="Français","M","MA")))))</f>
        <v>MA</v>
      </c>
      <c r="K5" s="279" t="str">
        <f>IF(Roster!$K$25="Italiano","COSTO",(IF(Roster!$K$25="Español","PRECIO",(IF(Roster!$K$25="Deutsch","WERT",(IF(Roster!$K$25="Français","VALEUR","COST")))))))</f>
        <v>COST</v>
      </c>
      <c r="L5" s="279" t="str">
        <f>IF(Roster!$K$25="Español","FU",(IF(Roster!$K$25="Français","F","ST")))</f>
        <v>ST</v>
      </c>
      <c r="M5" s="279" t="str">
        <f>IF(Roster!$K$25="Italiano","COSTO",(IF(Roster!$K$25="Español","PRECIO",(IF(Roster!$K$25="Deutsch","WERT",(IF(Roster!$K$25="Français","VALEUR","COST")))))))</f>
        <v>COST</v>
      </c>
      <c r="N5" s="279" t="str">
        <f>IF(Roster!$K$25="Deutsch","GE","AG")</f>
        <v>AG</v>
      </c>
      <c r="O5" s="279" t="str">
        <f>IF(Roster!$K$25="Italiano","COSTO",(IF(Roster!$K$25="Español","PRECIO",(IF(Roster!$K$25="Deutsch","WERT",(IF(Roster!$K$25="Français","VALEUR","COST")))))))</f>
        <v>COST</v>
      </c>
      <c r="P5" s="279" t="str">
        <f>IF(Roster!$K$25="Deutsch","WG",(IF(Roster!$K$25="Français","CP","PA")))</f>
        <v>PA</v>
      </c>
      <c r="Q5" s="279" t="str">
        <f>IF(Roster!$K$25="Italiano","COSTO",(IF(Roster!$K$25="Español","PRECIO",(IF(Roster!$K$25="Deutsch","WERT",(IF(Roster!$K$25="Français","VALEUR","COST")))))))</f>
        <v>COST</v>
      </c>
      <c r="R5" s="279" t="str">
        <f>IF(Roster!$K$25="Español","AR",(IF(Roster!$K$25="Deutsch","RW",(IF(Roster!$K$25="Français","AR","AV")))))</f>
        <v>AV</v>
      </c>
      <c r="S5" s="279" t="str">
        <f>IF(Roster!$K$25="Italiano","COSTO",(IF(Roster!$K$25="Español","PRECIO",(IF(Roster!$K$25="Deutsch","WERT",(IF(Roster!$K$25="Français","VALEUR","COST")))))))</f>
        <v>COST</v>
      </c>
      <c r="T5" s="455"/>
      <c r="U5" s="9"/>
      <c r="V5" s="23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4" t="str">
        <f t="shared" ref="W5:W10" si="0">IF($B$3="Stunty Superstar",D44,(IF($B$3="Legendary Linemen",G44,(IF($B$3="Brutal Blockers",J44,(IF($B$3="Reliable Ringers",M44,(IF($B$3="Bona Fide Big Guy",P44,"")))))))))</f>
        <v/>
      </c>
      <c r="X5" s="231"/>
      <c r="Y5" s="229" t="s">
        <v>1265</v>
      </c>
      <c r="Z5" s="240">
        <v>0</v>
      </c>
      <c r="AA5" s="240">
        <v>0</v>
      </c>
      <c r="AB5" s="240">
        <v>0</v>
      </c>
      <c r="AC5" s="240">
        <v>0</v>
      </c>
      <c r="AD5" s="240">
        <v>0</v>
      </c>
      <c r="AE5" s="232" t="str">
        <f>""</f>
        <v/>
      </c>
      <c r="AF5" s="232" t="str">
        <f>""</f>
        <v/>
      </c>
      <c r="AG5" s="232" t="str">
        <f>""</f>
        <v/>
      </c>
      <c r="AH5" s="232" t="str">
        <f>""</f>
        <v/>
      </c>
      <c r="AI5" s="260">
        <v>0</v>
      </c>
      <c r="AK5" s="238">
        <v>2</v>
      </c>
      <c r="AL5" s="239">
        <v>0</v>
      </c>
      <c r="AM5" s="239">
        <f>IF(B3="Legendary Linemen",0,-2)</f>
        <v>-2</v>
      </c>
      <c r="AN5" s="239">
        <f>IF(B3="Brutal Blockers",0,-2)</f>
        <v>-2</v>
      </c>
      <c r="AO5" s="234">
        <v>2</v>
      </c>
      <c r="AP5" s="238">
        <f>IF(OR(B3="Stunty Superstar",B3="Reliable Ringers"),70000,(IF(B3="Legendary Linemen",40000,50000)))</f>
        <v>50000</v>
      </c>
      <c r="AQ5" s="239">
        <v>0</v>
      </c>
      <c r="AR5" s="239">
        <f>IF(OR(B3="Stunty Superstar",B3="Bona Fide Big Guy"),80000,(IF(B3="Legendary Linemen",0,100000)))</f>
        <v>100000</v>
      </c>
      <c r="AS5" s="239">
        <f>IF(B3="Brutal Blockers",0,70000)</f>
        <v>70000</v>
      </c>
      <c r="AT5" s="234">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8"/>
      <c r="B6" s="469"/>
      <c r="C6" s="469"/>
      <c r="D6" s="469"/>
      <c r="E6" s="469"/>
      <c r="F6" s="469"/>
      <c r="G6" s="469"/>
      <c r="H6" s="470"/>
      <c r="I6" s="281">
        <f>IFERROR((VLOOKUP(A6,V4:W10,2,FALSE)),0)</f>
        <v>0</v>
      </c>
      <c r="J6" s="280">
        <v>0</v>
      </c>
      <c r="K6" s="281">
        <f>IFERROR((VLOOKUP(J6,AK3:AT7,6,FALSE)),"ILEGAL")</f>
        <v>0</v>
      </c>
      <c r="L6" s="280">
        <v>0</v>
      </c>
      <c r="M6" s="281">
        <f>IFERROR((VLOOKUP(L6,AL3:AT7,6,FALSE)),"ILEGAL")</f>
        <v>0</v>
      </c>
      <c r="N6" s="280">
        <v>0</v>
      </c>
      <c r="O6" s="281">
        <f>IFERROR((VLOOKUP(N6,AM3:AT7,6,FALSE)),"ILEGAL")</f>
        <v>0</v>
      </c>
      <c r="P6" s="280">
        <v>0</v>
      </c>
      <c r="Q6" s="281">
        <f>IFERROR((VLOOKUP(P6,AN3:AT7,6,FALSE)),"ILEGAL")</f>
        <v>0</v>
      </c>
      <c r="R6" s="280">
        <v>0</v>
      </c>
      <c r="S6" s="281">
        <f>IFERROR((VLOOKUP(R6,AO3:AT7,6,FALSE)),"ILEGAL")</f>
        <v>0</v>
      </c>
      <c r="T6" s="455"/>
      <c r="U6" s="9"/>
      <c r="V6" s="233" t="str">
        <f>IF($B$3="Stunty Superstar",C45,(IF($B$3="Legendary Linemen",F45,(IF($B$3="Brutal Blockers",I45,(IF($B$3="Reliable Ringers",L45,(IF($B$3="Bona Fide Big Guy",O45,"")))))))))</f>
        <v/>
      </c>
      <c r="W6" s="234" t="str">
        <f t="shared" si="0"/>
        <v/>
      </c>
      <c r="X6" s="231"/>
      <c r="Y6" s="233" t="s">
        <v>1267</v>
      </c>
      <c r="Z6" s="239">
        <v>5</v>
      </c>
      <c r="AA6" s="239">
        <v>2</v>
      </c>
      <c r="AB6" s="239">
        <v>3</v>
      </c>
      <c r="AC6" s="239">
        <v>4</v>
      </c>
      <c r="AD6" s="239">
        <v>6</v>
      </c>
      <c r="AE6" s="241" t="str">
        <f>IF(((COUNTIF(AE3,"A"))+(COUNTIF(AE3,"B"))+(COUNTIF(AE3,"H"))+(COUNTIF(AE3,"I"))+(COUNTIF(AE3,"M")))=1,"Loner (5+)","Loner (4+)")</f>
        <v>Loner (4+)</v>
      </c>
      <c r="AF6" s="241" t="s">
        <v>272</v>
      </c>
      <c r="AG6" s="241" t="s">
        <v>1268</v>
      </c>
      <c r="AH6" s="241" t="s">
        <v>1269</v>
      </c>
      <c r="AI6" s="234">
        <v>30000</v>
      </c>
      <c r="AK6" s="238">
        <v>-1</v>
      </c>
      <c r="AL6" s="239">
        <v>-1</v>
      </c>
      <c r="AM6" s="239">
        <v>1</v>
      </c>
      <c r="AN6" s="239">
        <v>1</v>
      </c>
      <c r="AO6" s="234">
        <v>-1</v>
      </c>
      <c r="AP6" s="238">
        <v>-10000</v>
      </c>
      <c r="AQ6" s="239">
        <v>-10000</v>
      </c>
      <c r="AR6" s="239">
        <v>-10000</v>
      </c>
      <c r="AS6" s="239">
        <v>-10000</v>
      </c>
      <c r="AT6" s="234">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2" t="str">
        <f>IF(Roster!$K$25="Italiano","TIPO",(IF(Roster!$K$25="Español","TIPO",(IF(Roster!$K$25="Deutsch","POSITION",(IF(Roster!$K$25="Français","POSTE","TYPE")))))))</f>
        <v>TYPE</v>
      </c>
      <c r="B7" s="283" t="str">
        <f>IF($J$40="Italiano","AVANZAMENTO 1",(IF($J$40="Español","MEJORA 1",(IF($J$40="Deutsch","VERBES-SERUNG 1",(IF($J$40="Français","AMÉLIORATION 1","UPGRADE 1")))))))</f>
        <v>UPGRADE 1</v>
      </c>
      <c r="C7" s="284" t="str">
        <f>IF(Roster!$K$25="Italiano","COSTO",(IF(Roster!$K$25="Español","PRECIO",(IF(Roster!$K$25="Deutsch","WERT",(IF(Roster!$K$25="Français","VALEUR","COST")))))))</f>
        <v>COST</v>
      </c>
      <c r="D7" s="463" t="str">
        <f>IF($J$40="Italiano","AVANZAMENTO 2",(IF($J$40="Español","MEJORA 2",(IF($J$40="Deutsch","VERBES-SERUNG 2",(IF($J$40="Français","AMÉLIORATION 2","UPGRADE 2")))))))</f>
        <v>UPGRADE 2</v>
      </c>
      <c r="E7" s="464"/>
      <c r="F7" s="284" t="str">
        <f>IF(Roster!$K$25="Italiano","COSTO",(IF(Roster!$K$25="Español","PRECIO",(IF(Roster!$K$25="Deutsch","WERT",(IF(Roster!$K$25="Français","VALEUR","COST")))))))</f>
        <v>COST</v>
      </c>
      <c r="G7" s="463" t="str">
        <f>IF($J$40="Italiano","AVANZAMENTO 3",(IF($J$40="Español","MEJORA 3",(IF($J$40="Deutsch","VERBES-SERUNG 3",(IF($J$40="Français","AMÉLIORATION 3","UPGRADE 3")))))))</f>
        <v>UPGRADE 3</v>
      </c>
      <c r="H7" s="464"/>
      <c r="I7" s="279" t="str">
        <f>IF(Roster!$K$25="Italiano","COSTO",(IF(Roster!$K$25="Español","PRECIO",(IF(Roster!$K$25="Deutsch","WERT",(IF(Roster!$K$25="Français","VALEUR","COST")))))))</f>
        <v>COST</v>
      </c>
      <c r="J7" s="463" t="str">
        <f>IF($J$40="Italiano","AVANZAMENTO 4",(IF($J$40="Español","MEJORA 4",(IF($J$40="Deutsch","VERBES-SERUNG 4",(IF($J$40="Français","AMÉLIORATION 4","UPGRADE 4")))))))</f>
        <v>UPGRADE 4</v>
      </c>
      <c r="K7" s="464"/>
      <c r="L7" s="279" t="str">
        <f>IF(Roster!$K$25="Italiano","COSTO",(IF(Roster!$K$25="Español","PRECIO",(IF(Roster!$K$25="Deutsch","WERT",(IF(Roster!$K$25="Français","VALEUR","COST")))))))</f>
        <v>COST</v>
      </c>
      <c r="M7" s="463" t="str">
        <f>IF($J$40="Italiano","AVANZAMENTO 5",(IF($J$40="Español","MEJORA 5",(IF($J$40="Deutsch","VERBES-SERUNG 5",(IF($J$40="Français","AMÉLIORATION 5","UPGRADE 5")))))))</f>
        <v>UPGRADE 5</v>
      </c>
      <c r="N7" s="464"/>
      <c r="O7" s="279" t="str">
        <f>IF(Roster!$K$25="Italiano","COSTO",(IF(Roster!$K$25="Español","PRECIO",(IF(Roster!$K$25="Deutsch","WERT",(IF(Roster!$K$25="Français","VALEUR","COST")))))))</f>
        <v>COST</v>
      </c>
      <c r="P7" s="463" t="str">
        <f>IF($J$40="Italiano","AVANZAMENTO 6",(IF($J$40="Español","MEJORA 6",(IF($J$40="Deutsch","VERBES-SERUNG 6",(IF($J$40="Français","AMÉLIORATION 6","UPGRADE 6")))))))</f>
        <v>UPGRADE 6</v>
      </c>
      <c r="Q7" s="464"/>
      <c r="R7" s="279" t="str">
        <f>IF(Roster!$K$25="Italiano","COSTO",(IF(Roster!$K$25="Español","PRECIO",(IF(Roster!$K$25="Deutsch","WERT",(IF(Roster!$K$25="Français","VALEUR","COST")))))))</f>
        <v>COST</v>
      </c>
      <c r="S7" s="279" t="s">
        <v>1264</v>
      </c>
      <c r="T7" s="455"/>
      <c r="U7" s="9"/>
      <c r="V7" s="233" t="str">
        <f>IF($B$3="Stunty Superstar",C46,(IF($B$3="Legendary Linemen",F46,(IF($B$3="Brutal Blockers",I46,(IF($B$3="Reliable Ringers",L46,(IF($B$3="Bona Fide Big Guy",O46,"")))))))))</f>
        <v/>
      </c>
      <c r="W7" s="234" t="str">
        <f t="shared" si="0"/>
        <v/>
      </c>
      <c r="X7" s="231"/>
      <c r="Y7" s="233" t="s">
        <v>1270</v>
      </c>
      <c r="Z7" s="239">
        <v>6</v>
      </c>
      <c r="AA7" s="239">
        <v>3</v>
      </c>
      <c r="AB7" s="239">
        <v>3</v>
      </c>
      <c r="AC7" s="239">
        <v>4</v>
      </c>
      <c r="AD7" s="239">
        <v>9</v>
      </c>
      <c r="AE7" s="241" t="str">
        <f>IF(((COUNTIF(AE3,"A"))+(COUNTIF(AE3,"B"))+(COUNTIF(AE3,"H"))+(COUNTIF(AE3,"I"))+(COUNTIF(AE3,"M")))=1,"Loner (5+)","Loner (4+)")</f>
        <v>Loner (4+)</v>
      </c>
      <c r="AF7" s="241" t="str">
        <f>""</f>
        <v/>
      </c>
      <c r="AG7" s="241" t="str">
        <f>""</f>
        <v/>
      </c>
      <c r="AH7" s="241" t="str">
        <f>""</f>
        <v/>
      </c>
      <c r="AI7" s="234">
        <v>50000</v>
      </c>
      <c r="AK7" s="242">
        <v>-2</v>
      </c>
      <c r="AL7" s="243">
        <f>IF(B3="Stunty Superstar",0,-2)</f>
        <v>-2</v>
      </c>
      <c r="AM7" s="243">
        <v>2</v>
      </c>
      <c r="AN7" s="243">
        <v>2</v>
      </c>
      <c r="AO7" s="244">
        <v>-2</v>
      </c>
      <c r="AP7" s="242">
        <v>-20000</v>
      </c>
      <c r="AQ7" s="243">
        <v>-20000</v>
      </c>
      <c r="AR7" s="243">
        <v>-20000</v>
      </c>
      <c r="AS7" s="243">
        <v>-20000</v>
      </c>
      <c r="AT7" s="244">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5" t="str">
        <f>IF($J$40="Italiano","GENERALE:",(IF($J$40="Français","GÉNÉRALE:","GENERAL:")))</f>
        <v>GENERAL:</v>
      </c>
      <c r="B8" s="253"/>
      <c r="C8" s="281">
        <f>IF(B8&lt;&gt;"",(IF(B3="Legendary Linemen",20000,(IF(B3="Reliable Ringers",30000,(IF(B3="Mercenaries",0,40000)))))),0)</f>
        <v>0</v>
      </c>
      <c r="D8" s="460"/>
      <c r="E8" s="461"/>
      <c r="F8" s="281" t="str">
        <f>IF(B3&lt;&gt;"Legendary Linemen","ILEGAL",(IF(D8&lt;&gt;"",50000,0)))</f>
        <v>ILEGAL</v>
      </c>
      <c r="G8" s="460"/>
      <c r="H8" s="461"/>
      <c r="I8" s="281" t="str">
        <f>IF(B3&lt;&gt;"Legendary Linemen","ILEGAL",(IF(G8&lt;&gt;"",80000,0)))</f>
        <v>ILEGAL</v>
      </c>
      <c r="J8" s="460"/>
      <c r="K8" s="461"/>
      <c r="L8" s="281" t="str">
        <f>IF(B3&lt;&gt;"Legendary Linemen","ILEGAL",(IF(J8&lt;&gt;"",110000,0)))</f>
        <v>ILEGAL</v>
      </c>
      <c r="M8" s="460"/>
      <c r="N8" s="461"/>
      <c r="O8" s="281" t="str">
        <f>IF(B3&lt;&gt;"Legendary Linemen","ILEGAL",(IF(M8&lt;&gt;"",140000,0)))</f>
        <v>ILEGAL</v>
      </c>
      <c r="P8" s="460"/>
      <c r="Q8" s="461"/>
      <c r="R8" s="281" t="str">
        <f>IF(B3&lt;&gt;"Legendary Linemen","ILEGAL",(IF(P8&lt;&gt;"",170000,0)))</f>
        <v>ILEGAL</v>
      </c>
      <c r="S8" s="281">
        <f>SUM(C8,F8,I8,L8,O8,R8)</f>
        <v>0</v>
      </c>
      <c r="T8" s="455"/>
      <c r="U8" s="9"/>
      <c r="V8" s="233" t="str">
        <f>IF($B$3="Stunty Superstar",C47,(IF($B$3="Legendary Linemen",F47,(IF($B$3="Brutal Blockers",I47,(IF($B$3="Reliable Ringers",L47,(IF($B$3="Bona Fide Big Guy",O47,"")))))))))</f>
        <v/>
      </c>
      <c r="W8" s="234" t="str">
        <f t="shared" si="0"/>
        <v/>
      </c>
      <c r="X8" s="231"/>
      <c r="Y8" s="233" t="s">
        <v>1272</v>
      </c>
      <c r="Z8" s="239">
        <v>4</v>
      </c>
      <c r="AA8" s="239">
        <v>4</v>
      </c>
      <c r="AB8" s="239">
        <v>4</v>
      </c>
      <c r="AC8" s="239">
        <v>6</v>
      </c>
      <c r="AD8" s="239">
        <v>9</v>
      </c>
      <c r="AE8" s="241" t="str">
        <f>IF(((COUNTIF(AE3,"A"))+(COUNTIF(AE3,"B"))+(COUNTIF(AE3,"H"))+(COUNTIF(AE3,"I"))+(COUNTIF(AE3,"M")))=1,"Loner (5+)","Loner (4+)")</f>
        <v>Loner (4+)</v>
      </c>
      <c r="AF8" s="241" t="str">
        <f>IF(OR(AE3="H",AE3="M"),"Mighty Blow (+2)","")</f>
        <v/>
      </c>
      <c r="AG8" s="241" t="str">
        <f>""</f>
        <v/>
      </c>
      <c r="AH8" s="241" t="str">
        <f>""</f>
        <v/>
      </c>
      <c r="AI8" s="234">
        <v>70000</v>
      </c>
      <c r="AK8" s="23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5" t="str">
        <f>IF($J$40="Italiano","FORZA:",(IF($J$40="Español","FUERZA:",(IF($J$40="Français","FORCE:","STRENGTH:")))))</f>
        <v>STRENGTH:</v>
      </c>
      <c r="B9" s="253"/>
      <c r="C9" s="281">
        <f>IF(B9&lt;&gt;"",(IF(B3="Stunty Superstar","ILEGAL",(IF(B3="Reliable Ringers",50000,(IF(B3="Mercenaries",0,30000)))))),0)</f>
        <v>0</v>
      </c>
      <c r="D9" s="460"/>
      <c r="E9" s="461"/>
      <c r="F9" s="281" t="str">
        <f>IF($B$3&lt;&gt;"Brutal Blockers",(IF($B$3&lt;&gt;"Bona Fide Big Guy","ILEGAL",(IF(D9&lt;&gt;"",70000,0)))),(IF(D9&lt;&gt;"",70000,0)))</f>
        <v>ILEGAL</v>
      </c>
      <c r="G9" s="460"/>
      <c r="H9" s="461"/>
      <c r="I9" s="281" t="str">
        <f>IF($B$3&lt;&gt;"Brutal Blockers",(IF($B$3&lt;&gt;"Bona Fide Big Guy","ILEGAL",(IF(G9&lt;&gt;"",110000,0)))),(IF(G9&lt;&gt;"",110000,0)))</f>
        <v>ILEGAL</v>
      </c>
      <c r="J9" s="460"/>
      <c r="K9" s="461"/>
      <c r="L9" s="281" t="str">
        <f>IF($B$3&lt;&gt;"Brutal Blockers",(IF($B$3&lt;&gt;"Bona Fide Big Guy","ILEGAL",(IF(J9&lt;&gt;"",150000,0)))),(IF(J9&lt;&gt;"",150000,0)))</f>
        <v>ILEGAL</v>
      </c>
      <c r="M9" s="460"/>
      <c r="N9" s="461"/>
      <c r="O9" s="281" t="str">
        <f>IF($B$3&lt;&gt;"Brutal Blockers",(IF($B$3&lt;&gt;"Bona Fide Big Guy","ILEGAL",(IF(M9&lt;&gt;"",190000,0)))),(IF(M9&lt;&gt;"",190000,0)))</f>
        <v>ILEGAL</v>
      </c>
      <c r="P9" s="460"/>
      <c r="Q9" s="461"/>
      <c r="R9" s="281" t="str">
        <f>IF($B$3&lt;&gt;"Brutal Blockers",(IF($B$3&lt;&gt;"Bona Fide Big Guy","ILEGAL",(IF(P9&lt;&gt;"",230000,0)))),(IF(P9&lt;&gt;"",230000,0)))</f>
        <v>ILEGAL</v>
      </c>
      <c r="S9" s="281">
        <f>SUM(C9,F9,I9,L9,O9,R9)</f>
        <v>0</v>
      </c>
      <c r="T9" s="455"/>
      <c r="V9" s="233" t="str">
        <f>IF($B$3="Stunty Superstar",C48,(IF($B$3="Legendary Linemen",F48,(IF($B$3="Brutal Blockers",I48,(IF($B$3="Reliable Ringers",L48,(IF($B$3="Bona Fide Big Guy",O48,"")))))))))</f>
        <v/>
      </c>
      <c r="W9" s="234" t="str">
        <f t="shared" si="0"/>
        <v/>
      </c>
      <c r="X9" s="231"/>
      <c r="Y9" s="233" t="s">
        <v>1261</v>
      </c>
      <c r="Z9" s="239">
        <v>6</v>
      </c>
      <c r="AA9" s="239">
        <v>3</v>
      </c>
      <c r="AB9" s="239">
        <v>2</v>
      </c>
      <c r="AC9" s="239">
        <v>3</v>
      </c>
      <c r="AD9" s="239">
        <v>8</v>
      </c>
      <c r="AE9" s="241" t="str">
        <f>IF(((COUNTIF(AE3,"A"))+(COUNTIF(AE3,"B"))+(COUNTIF(AE3,"H"))+(COUNTIF(AE3,"I"))+(COUNTIF(AE3,"M")))=1,"Loner (5+)","Loner (4+)")</f>
        <v>Loner (4+)</v>
      </c>
      <c r="AF9" s="241" t="str">
        <f>""</f>
        <v/>
      </c>
      <c r="AG9" s="241" t="str">
        <f>""</f>
        <v/>
      </c>
      <c r="AH9" s="241" t="str">
        <f>""</f>
        <v/>
      </c>
      <c r="AI9" s="234">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5" t="str">
        <f>IF($J$40="Italiano","AGILITÀ:",(IF($J$40="Español","AGILIDAD:",(IF($J$40="Deutsch","AGILITÄT:",(IF($J$40="Français","AGILITÉ:","AGILITY:")))))))</f>
        <v>AGILITY:</v>
      </c>
      <c r="B10" s="253"/>
      <c r="C10" s="281">
        <f>IF(B3="Bona Fide Big Guy","ILEGAL",IF(B10&lt;&gt;"",(IF(B3="Stunty Superstar",10000,(IF(B3="Brutal Blockers",40000,(IF(B3="Mercenaries",0,30000)))))),0))</f>
        <v>0</v>
      </c>
      <c r="D10" s="460"/>
      <c r="E10" s="461"/>
      <c r="F10" s="281" t="str">
        <f>IF($B$3&lt;&gt;"Stunty Superstar",(IF($B$3&lt;&gt;"Reliable Ringers","ILEGAL",(IF(D10&lt;&gt;"",70000,0)))),(IF(D10&lt;&gt;"",30000,0)))</f>
        <v>ILEGAL</v>
      </c>
      <c r="G10" s="460"/>
      <c r="H10" s="461"/>
      <c r="I10" s="281" t="str">
        <f>IF($B$3&lt;&gt;"Stunty Superstar",(IF($B$3&lt;&gt;"Reliable Ringers","ILEGAL",(IF(G10&lt;&gt;"",110000,0)))),(IF(G10&lt;&gt;"",50000,0)))</f>
        <v>ILEGAL</v>
      </c>
      <c r="J10" s="460"/>
      <c r="K10" s="461"/>
      <c r="L10" s="281" t="str">
        <f>IF($B$3&lt;&gt;"Stunty Superstar",(IF($B$3&lt;&gt;"Reliable Ringers","ILEGAL",(IF(J10&lt;&gt;"",150000,0)))),(IF(J10&lt;&gt;"",70000,0)))</f>
        <v>ILEGAL</v>
      </c>
      <c r="M10" s="460"/>
      <c r="N10" s="461"/>
      <c r="O10" s="281" t="str">
        <f>IF($B$3&lt;&gt;"Stunty Superstar",(IF($B$3&lt;&gt;"Reliable Ringers","ILEGAL",(IF(M10&lt;&gt;"",190000,0)))),(IF(M10&lt;&gt;"",90000,0)))</f>
        <v>ILEGAL</v>
      </c>
      <c r="P10" s="460"/>
      <c r="Q10" s="461"/>
      <c r="R10" s="281" t="str">
        <f>IF($B$3&lt;&gt;"Stunty Superstar",(IF($B$3&lt;&gt;"Reliable Ringers","ILEGAL",(IF(P10&lt;&gt;"",230000,0)))),(IF(P10&lt;&gt;"",110000,0)))</f>
        <v>ILEGAL</v>
      </c>
      <c r="S10" s="281">
        <f>SUM(C10,F10,I10,L10,O10,R10)</f>
        <v>0</v>
      </c>
      <c r="T10" s="455"/>
      <c r="V10" s="235" t="str">
        <f>IF($B$3="Stunty Superstar",C49,(IF($B$3="Legendary Linemen",F49,(IF($B$3="Brutal Blockers",I49,(IF($B$3="Reliable Ringers",L49,(IF($B$3="Bona Fide Big Guy",O49,"")))))))))</f>
        <v/>
      </c>
      <c r="W10" s="244" t="str">
        <f t="shared" si="0"/>
        <v/>
      </c>
      <c r="X10" s="231"/>
      <c r="Y10" s="235" t="s">
        <v>1273</v>
      </c>
      <c r="Z10" s="243">
        <v>4</v>
      </c>
      <c r="AA10" s="243">
        <v>5</v>
      </c>
      <c r="AB10" s="243">
        <v>4</v>
      </c>
      <c r="AC10" s="243">
        <v>5</v>
      </c>
      <c r="AD10" s="243">
        <v>9</v>
      </c>
      <c r="AE10" s="236" t="str">
        <f>IF(((COUNTIF(AE3,"A"))+(COUNTIF(AE3,"B"))+(COUNTIF(AE3,"H"))+(COUNTIF(AE3,"I"))+(COUNTIF(AE3,"M")))=1,"Loner (5+)","Loner (4+)")</f>
        <v>Loner (4+)</v>
      </c>
      <c r="AF10" s="236" t="str">
        <f>IF(OR(AE3="J",AE3="K",AE3="L",AE3="M",AE3="N"),"","Bone Head")</f>
        <v>Bone Head</v>
      </c>
      <c r="AG10" s="236" t="str">
        <f>IF(OR(AE3="H",AE3="M"),"Mighty Blow (+2)","Mighty Blow (+1)")</f>
        <v>Mighty Blow (+1)</v>
      </c>
      <c r="AH10" s="236" t="str">
        <f>IF(OR(AE3="K",AE3="L"),"","Throw Team Mate")</f>
        <v>Throw Team Mate</v>
      </c>
      <c r="AI10" s="244">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5" t="str">
        <f>IF($J$40="Español","PASE:",(IF($J$40="Français","PASSER:","PASS:")))</f>
        <v>PASS:</v>
      </c>
      <c r="B11" s="253"/>
      <c r="C11" s="281">
        <f>IF(B11&lt;&gt;"",(IF(B3="Mercenaries",0,(IF(OR(B3="Reliable Ringers",B3="Bona Fide Big Guy"),30000,20000)))),0)</f>
        <v>0</v>
      </c>
      <c r="D11" s="460"/>
      <c r="E11" s="461"/>
      <c r="F11" s="281" t="s">
        <v>1262</v>
      </c>
      <c r="G11" s="460"/>
      <c r="H11" s="461"/>
      <c r="I11" s="281" t="s">
        <v>1262</v>
      </c>
      <c r="J11" s="460"/>
      <c r="K11" s="461"/>
      <c r="L11" s="281" t="s">
        <v>1262</v>
      </c>
      <c r="M11" s="460"/>
      <c r="N11" s="461"/>
      <c r="O11" s="281" t="s">
        <v>1262</v>
      </c>
      <c r="P11" s="460"/>
      <c r="Q11" s="461"/>
      <c r="R11" s="281" t="s">
        <v>1262</v>
      </c>
      <c r="S11" s="281">
        <f>SUM(C11,F11,I11,L11,O11,R11)</f>
        <v>0</v>
      </c>
      <c r="T11" s="455"/>
      <c r="V11" s="231"/>
      <c r="W11" s="231"/>
      <c r="X11" s="231"/>
      <c r="Y11" s="231"/>
      <c r="Z11" s="231"/>
      <c r="AA11" s="231"/>
      <c r="AB11" s="231"/>
      <c r="AC11" s="231"/>
      <c r="AD11" s="231"/>
      <c r="AE11" s="231"/>
      <c r="AF11" s="231"/>
      <c r="AG11" s="231"/>
      <c r="AH11" s="231"/>
      <c r="AI11" s="23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9" t="str">
        <f>IF($J$40="Italiano","MUTAZIONE:",(IF($J$40="Español","MUTACIÓN:","MUTATION:")))</f>
        <v>MUTATION:</v>
      </c>
      <c r="B12" s="253"/>
      <c r="C12" s="281">
        <f>IF(B3="Reliable Ringers","ILEGAL",IF(B12&lt;&gt;"",(IF(B3="Mercenaries",0,(IF(OR(B3="Brutal Blockers",B3="Bona Fide Big Guy"),40000,IF(B3="Stunty Superstar",30000,IF(B3="Legendary Linemen",30000,(IF(B12="Big Hand",30000,(IF(B12="Extra Arms",20000,(IF(B12="Two Heads",30000,(IF(B12="Very Long Legs",30000,0)))))))))))))),0))</f>
        <v>0</v>
      </c>
      <c r="D12" s="460"/>
      <c r="E12" s="461"/>
      <c r="F12" s="281" t="str">
        <f>IF(B3="Reliable Ringers","ILEGAL",IF(OR($B$3="Stunty Superstar",$B$3="Brutal Blockers",$B$3="Bona Fide Big Guy",$B$3="Mercenaries"),"ILEGAL",(IF(D12&lt;&gt;"",(IF($B$3="Legendary Linemen",70000,(IF(D12="Big Hand",30000,(IF(D12="Extra Arms",20000,(IF(D12="Two Heads",30000,(IF(D12="Very Long Legs",30000,"ILEGAL")))))))))),0))))</f>
        <v>ILEGAL</v>
      </c>
      <c r="G12" s="460"/>
      <c r="H12" s="461"/>
      <c r="I12" s="281" t="str">
        <f>IF(B3="Reliable Ringers","ILEGAL",IF(OR($B$3="Stunty Superstar",$B$3="Brutal Blockers",$B$3="Bona Fide Big Guy",$B$3="Mercenaries"),"ILEGAL",(IF(G12&lt;&gt;"",(IF($B$3="Legendary Linemen",110000,(IF(G12="Big Hand",30000,(IF(G12="Extra Arms",20000,(IF(G12="Two Heads",30000,(IF(G12="Very Long Legs",30000,0)))))))))),0))))</f>
        <v>ILEGAL</v>
      </c>
      <c r="J12" s="460"/>
      <c r="K12" s="461"/>
      <c r="L12" s="281" t="str">
        <f>IF(B3="Reliable Ringers","ILEGAL",IF(OR($B$3="Stunty Superstar",$B$3="Brutal Blockers",$B$3="Bona Fide Big Guy",$B$3="Mercenaries"),"ILEGAL",(IF(J12&lt;&gt;"",(IF($B$3="Legendary Linemen",150000,(IF(J12="Big Hand",30000,(IF(J12="Extra Arms",20000,(IF(J12="Two Heads",30000,(IF(J12="Very Long Legs",30000,0)))))))))),0))))</f>
        <v>ILEGAL</v>
      </c>
      <c r="M12" s="460"/>
      <c r="N12" s="461"/>
      <c r="O12" s="281" t="str">
        <f>IF(B3&lt;&gt;"Legendary Linemen","ILEGAL",(IF(M12&lt;&gt;"",190000,0)))</f>
        <v>ILEGAL</v>
      </c>
      <c r="P12" s="460"/>
      <c r="Q12" s="461"/>
      <c r="R12" s="281" t="str">
        <f>IF(B3&lt;&gt;"Legendary Linemen","ILEGAL",(IF(P12&lt;&gt;"",230000,0)))</f>
        <v>ILEGAL</v>
      </c>
      <c r="S12" s="281">
        <f>SUM(C12,F12,I12,L12,O12,R12)</f>
        <v>0</v>
      </c>
      <c r="T12" s="455"/>
      <c r="V12" s="245" t="s">
        <v>1264</v>
      </c>
      <c r="W12" s="246">
        <f>SUM(Y12:AI12)</f>
        <v>0</v>
      </c>
      <c r="X12" s="246"/>
      <c r="Y12" s="246">
        <f>IF(K6="ILEGAL",0,K6)</f>
        <v>0</v>
      </c>
      <c r="Z12" s="246">
        <f>IF(M6="ILEGAL",0,M6)</f>
        <v>0</v>
      </c>
      <c r="AA12" s="246">
        <f>IF(O6="ILEGAL",0,O6)</f>
        <v>0</v>
      </c>
      <c r="AB12" s="246">
        <f>IF(Q6="ILEGAL",0,Q6)</f>
        <v>0</v>
      </c>
      <c r="AC12" s="246">
        <f>IF(S6="ILEGAL",0,S6)</f>
        <v>0</v>
      </c>
      <c r="AD12" s="246">
        <f>I6</f>
        <v>0</v>
      </c>
      <c r="AE12" s="246">
        <f>S8</f>
        <v>0</v>
      </c>
      <c r="AF12" s="246">
        <f>S9</f>
        <v>0</v>
      </c>
      <c r="AG12" s="246">
        <f>S10</f>
        <v>0</v>
      </c>
      <c r="AH12" s="246">
        <f>S11</f>
        <v>0</v>
      </c>
      <c r="AI12" s="247">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6"/>
      <c r="B13" s="287"/>
      <c r="C13" s="287"/>
      <c r="D13" s="287"/>
      <c r="E13" s="287"/>
      <c r="F13" s="287"/>
      <c r="G13" s="287"/>
      <c r="H13" s="287"/>
      <c r="I13" s="287"/>
      <c r="J13" s="287"/>
      <c r="K13" s="287"/>
      <c r="L13" s="287"/>
      <c r="M13" s="287"/>
      <c r="N13" s="287"/>
      <c r="O13" s="287"/>
      <c r="P13" s="287"/>
      <c r="Q13" s="287"/>
      <c r="R13" s="287"/>
      <c r="S13" s="287"/>
      <c r="T13" s="455"/>
      <c r="V13" s="239"/>
      <c r="W13" s="239"/>
      <c r="X13" s="239"/>
      <c r="Y13" s="239"/>
      <c r="Z13" s="239"/>
      <c r="AA13" s="239"/>
      <c r="AB13" s="239"/>
      <c r="AC13" s="239"/>
      <c r="AD13" s="239"/>
      <c r="AE13" s="239"/>
      <c r="AF13" s="239"/>
      <c r="AG13" s="239"/>
      <c r="AH13" s="239"/>
      <c r="AI13" s="239"/>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62" t="str">
        <f>IF(Roster!$K$25="Italiano","MERCENARIO 2",(IF(Roster!$K$25="Español","MERCENARIO 2",(IF(Roster!$K$25="Français","MERCENAIRE 2","MERCENARY 2")))))</f>
        <v>MERCENARY 2</v>
      </c>
      <c r="B14" s="462"/>
      <c r="C14" s="462"/>
      <c r="D14" s="462"/>
      <c r="E14" s="462"/>
      <c r="F14" s="462"/>
      <c r="G14" s="462"/>
      <c r="H14" s="462"/>
      <c r="I14" s="462"/>
      <c r="J14" s="462"/>
      <c r="K14" s="462"/>
      <c r="L14" s="462"/>
      <c r="M14" s="462"/>
      <c r="N14" s="462"/>
      <c r="O14" s="462"/>
      <c r="P14" s="462"/>
      <c r="Q14" s="462"/>
      <c r="R14" s="462"/>
      <c r="S14" s="462"/>
      <c r="T14" s="455"/>
    </row>
    <row r="15" spans="1:57" s="13" customFormat="1" ht="22.5" customHeight="1" x14ac:dyDescent="0.2">
      <c r="A15" s="279" t="str">
        <f>IF(Roster!$K$25="Italiano","MERCENARIO 2",(IF(Roster!$K$25="Español","MERCENARIO 2",(IF(Roster!$K$25="Français","MERCENAIRE 2","MERCENARY 2")))))</f>
        <v>MERCENARY 2</v>
      </c>
      <c r="B15" s="279" t="str">
        <f>IF(Roster!$K$25="Italiano","TIPO",(IF(Roster!$K$25="Español","TIPO",(IF(Roster!$K$25="Deutsch","POSITION",(IF(Roster!$K$25="Français","POSTE","TYPE")))))))</f>
        <v>TYPE</v>
      </c>
      <c r="C15" s="279" t="str">
        <f>IF(Roster!$K$25="Español","MO",(IF(Roster!$K$25="Deutsch","BE",(IF(Roster!$K$25="Français","M","MA")))))</f>
        <v>MA</v>
      </c>
      <c r="D15" s="279" t="str">
        <f>IF(Roster!$K$25="Español","FU",(IF(Roster!$K$25="Français","F","ST")))</f>
        <v>ST</v>
      </c>
      <c r="E15" s="279" t="str">
        <f>IF(Roster!$K$25="Deutsch","GE","AG")</f>
        <v>AG</v>
      </c>
      <c r="F15" s="279" t="str">
        <f>IF(Roster!$K$25="Deutsch","WG",(IF(Roster!$K$25="Français","CP","PA")))</f>
        <v>PA</v>
      </c>
      <c r="G15" s="279" t="str">
        <f>IF(Roster!$K$25="Español","AR",(IF(Roster!$K$25="Deutsch","RW",(IF(Roster!$K$25="Français","AR","AV")))))</f>
        <v>AV</v>
      </c>
      <c r="H15" s="465" t="str">
        <f>IF(Roster!$K$25="Italiano","ABILITÀ",(IF(Roster!$K$25="Español","HABILIDADES",(IF(Roster!$K$25="Deutsch","FERTIGKEITEN",(IF(Roster!$K$25="Français","COMPÉTENCES","SKILLS")))))))</f>
        <v>SKILLS</v>
      </c>
      <c r="I15" s="466"/>
      <c r="J15" s="466"/>
      <c r="K15" s="466"/>
      <c r="L15" s="466"/>
      <c r="M15" s="466"/>
      <c r="N15" s="466"/>
      <c r="O15" s="466"/>
      <c r="P15" s="466"/>
      <c r="Q15" s="466"/>
      <c r="R15" s="467"/>
      <c r="S15" s="279" t="str">
        <f>IF(Roster!$K$25="Italiano","COSTO",(IF(Roster!$K$25="Español","PRECIO",(IF(Roster!$K$25="Deutsch","WERT",(IF(Roster!$K$25="Français","VALEUR","COST")))))))</f>
        <v>COST</v>
      </c>
      <c r="T15" s="455"/>
      <c r="V15" s="229" t="s">
        <v>261</v>
      </c>
      <c r="W15" s="230" t="s">
        <v>206</v>
      </c>
      <c r="X15" s="231"/>
      <c r="Y15" s="229" t="s">
        <v>1266</v>
      </c>
      <c r="Z15" s="232"/>
      <c r="AA15" s="232"/>
      <c r="AB15" s="230"/>
      <c r="AC15" s="231"/>
      <c r="AD15" s="231"/>
      <c r="AE15" s="231"/>
      <c r="AF15" s="229" t="s">
        <v>1271</v>
      </c>
      <c r="AG15" s="232"/>
      <c r="AH15" s="232"/>
      <c r="AI15" s="230"/>
      <c r="AK15" s="457" t="s">
        <v>1311</v>
      </c>
      <c r="AL15" s="458"/>
      <c r="AM15" s="458"/>
      <c r="AN15" s="458"/>
      <c r="AO15" s="459"/>
      <c r="AP15" s="457" t="s">
        <v>1312</v>
      </c>
      <c r="AQ15" s="458"/>
      <c r="AR15" s="458"/>
      <c r="AS15" s="458"/>
      <c r="AT15" s="459"/>
      <c r="AV15" s="197"/>
    </row>
    <row r="16" spans="1:57" s="13" customFormat="1" ht="30" customHeight="1" x14ac:dyDescent="0.2">
      <c r="A16" s="253"/>
      <c r="B16" s="253" t="s">
        <v>1265</v>
      </c>
      <c r="C16" s="280" t="str">
        <f>IF((VLOOKUP(B16,Y18:AD23,2,FALSE))+J19+(IF(AE16="G",-2,0))+(IF(OR(AE16="O",AE16="N"),-1,0))=0,"",(VLOOKUP(B16,Y18:AD23,2,FALSE))+J19+(IF(AE16="G",-2,0))+(IF(OR(AE16="O",AE16="N"),-1,0)))</f>
        <v/>
      </c>
      <c r="D16" s="280" t="str">
        <f>IF((VLOOKUP(B16,Y18:AD23,3,FALSE))+L19+(IF(AE16="G",3,0))+(IF(OR(AE16="O",AE16="N"),2,0))=0,"",(VLOOKUP(B16,Y18:AD23,3,FALSE))+L19+(IF(AE16="G",3,0))+(IF(OR(AE16="O",AE16="N"),2,0)))</f>
        <v/>
      </c>
      <c r="E16" s="280" t="str">
        <f>IF((VLOOKUP(B16,Y18:AD23,4,FALSE)+N19+(IF(AE16="J",1,0)))=0,"",(VLOOKUP(B16,Y18:AD23,4,FALSE)+N19+(IF(AE16="J",1,0))&amp;"+"))</f>
        <v/>
      </c>
      <c r="F16" s="280" t="str">
        <f>IF((VLOOKUP(B16,Y18:AD23,5,FALSE)+P19)=0,"",(VLOOKUP(B16,Y18:AD23,5,FALSE)+P19&amp;"+"))</f>
        <v/>
      </c>
      <c r="G16" s="280" t="str">
        <f>IF((VLOOKUP(B16,Y18:AD23,6,FALSE)+R19)=0,"",(VLOOKUP(B16,Y18:AD23,6,FALSE)+R19&amp;"+"))</f>
        <v/>
      </c>
      <c r="H16" s="293" t="str">
        <f>Y16&amp;(IF(Z16&lt;&gt;"",", ",""))&amp;Z16&amp;(IF(AA16&lt;&gt;"",", ",""))&amp;AA16&amp;(IF(AB16&lt;&gt;"",", ",""))&amp;AB16&amp;(IF(AF16&lt;&gt;"",", ",""))&amp;AF16&amp;(IF(AG16&lt;&gt;"",", ",""))&amp;AG16&amp;(IF(AH16&lt;&gt;"",", ",""))&amp;AH16&amp;(IF(AI16&lt;&gt;"",", ",""))&amp;AI16&amp;AK21</f>
        <v/>
      </c>
      <c r="I16" s="294"/>
      <c r="J16" s="294"/>
      <c r="K16" s="294"/>
      <c r="L16" s="294"/>
      <c r="M16" s="294"/>
      <c r="N16" s="294"/>
      <c r="O16" s="294"/>
      <c r="P16" s="294"/>
      <c r="Q16" s="294"/>
      <c r="R16" s="295"/>
      <c r="S16" s="280">
        <f>(VLOOKUP(B16,Y18:AI23,11,FALSE))+W25</f>
        <v>0</v>
      </c>
      <c r="T16" s="455"/>
      <c r="V16" s="233"/>
      <c r="W16" s="234">
        <v>0</v>
      </c>
      <c r="X16" s="226"/>
      <c r="Y16" s="235" t="str">
        <f>VLOOKUP(B16,Y18:AH23,7,FALSE)</f>
        <v/>
      </c>
      <c r="Z16" s="236" t="str">
        <f>VLOOKUP(B16,Y18:AH23,8,FALSE)</f>
        <v/>
      </c>
      <c r="AA16" s="236" t="str">
        <f>VLOOKUP(B16,Y18:AH23,9,FALSE)</f>
        <v/>
      </c>
      <c r="AB16" s="237" t="str">
        <f>VLOOKUP(B16,Y18:AH23,10,FALSE)</f>
        <v/>
      </c>
      <c r="AC16" s="231"/>
      <c r="AD16" s="231"/>
      <c r="AE16" s="231" t="str">
        <f>IFERROR((VLOOKUP(A19,R41:W55,2,FALSE)),"")</f>
        <v/>
      </c>
      <c r="AF16" s="235" t="str">
        <f>IFERROR((VLOOKUP(A19,R41:W55,3,FALSE)),"")</f>
        <v/>
      </c>
      <c r="AG16" s="236" t="str">
        <f>IFERROR((VLOOKUP(A19,R41:W55,4,FALSE)),"")</f>
        <v/>
      </c>
      <c r="AH16" s="236" t="str">
        <f>IFERROR((VLOOKUP(A19,R41:W55,5,FALSE)),"")</f>
        <v/>
      </c>
      <c r="AI16" s="237" t="str">
        <f>IFERROR((VLOOKUP(A19,R41:W55,6,FALSE)),"")</f>
        <v/>
      </c>
      <c r="AK16" s="238">
        <v>0</v>
      </c>
      <c r="AL16" s="239">
        <v>0</v>
      </c>
      <c r="AM16" s="239">
        <v>0</v>
      </c>
      <c r="AN16" s="239">
        <v>0</v>
      </c>
      <c r="AO16" s="234">
        <v>0</v>
      </c>
      <c r="AP16" s="238">
        <v>0</v>
      </c>
      <c r="AQ16" s="239">
        <v>0</v>
      </c>
      <c r="AR16" s="239">
        <v>0</v>
      </c>
      <c r="AS16" s="239">
        <v>0</v>
      </c>
      <c r="AT16" s="234">
        <v>0</v>
      </c>
      <c r="AV16" s="248"/>
    </row>
    <row r="17" spans="1:48" s="13" customFormat="1" ht="22.5" customHeight="1" x14ac:dyDescent="0.2">
      <c r="A17" s="456" t="str">
        <f>IF(AR3="Italiano","AVANZAMIENTO GIOCATORI",(IF(AR3="Español","MEJORAS DEL JUGADORE",(IF(AR3="Deutsch","SPIELERVERBESSERUNGEN",(IF(AR3="Français","AMÉLIORATIONS DE JOUEUR","PLAYER UPGRADES")))))))</f>
        <v>PLAYER UPGRADES</v>
      </c>
      <c r="B17" s="456"/>
      <c r="C17" s="456"/>
      <c r="D17" s="456"/>
      <c r="E17" s="456"/>
      <c r="F17" s="456"/>
      <c r="G17" s="456"/>
      <c r="H17" s="456"/>
      <c r="I17" s="456"/>
      <c r="J17" s="456"/>
      <c r="K17" s="456"/>
      <c r="L17" s="456"/>
      <c r="M17" s="456"/>
      <c r="N17" s="456"/>
      <c r="O17" s="456"/>
      <c r="P17" s="456"/>
      <c r="Q17" s="456"/>
      <c r="R17" s="456"/>
      <c r="S17" s="456"/>
      <c r="T17" s="455"/>
      <c r="V17" s="233" t="str">
        <f t="shared" ref="V17:W23" si="1">IF($B$16="Stunty Superstar",C43,(IF($B$16="Legendary Linemen",F43,(IF($B$16="Brutal Blockers",I43,(IF($B$16="Reliable Ringers",L43,(IF($B$16="Bona Fide Big Guy",O43,"")))))))))</f>
        <v/>
      </c>
      <c r="W17" s="234" t="str">
        <f t="shared" si="1"/>
        <v/>
      </c>
      <c r="X17" s="231"/>
      <c r="Y17" s="231"/>
      <c r="Z17" s="231"/>
      <c r="AA17" s="231"/>
      <c r="AB17" s="231"/>
      <c r="AC17" s="231"/>
      <c r="AD17" s="231"/>
      <c r="AE17" s="231"/>
      <c r="AF17" s="231"/>
      <c r="AG17" s="231"/>
      <c r="AH17" s="231"/>
      <c r="AI17" s="231"/>
      <c r="AK17" s="238">
        <v>1</v>
      </c>
      <c r="AL17" s="239">
        <v>0</v>
      </c>
      <c r="AM17" s="239">
        <f>IF(B16="Legendary Linemen",0,-1)</f>
        <v>-1</v>
      </c>
      <c r="AN17" s="239">
        <f>IF(B16="Brutal Blockers",0,-1)</f>
        <v>-1</v>
      </c>
      <c r="AO17" s="234">
        <v>1</v>
      </c>
      <c r="AP17" s="238">
        <f>IF(OR(B16="Legendary Linemen",B16="Bona Fide Big Guy"),20000,30000)</f>
        <v>30000</v>
      </c>
      <c r="AQ17" s="239">
        <v>0</v>
      </c>
      <c r="AR17" s="239">
        <f>IF(OR(B16="Stunty Superstar",B16="Bona Fide Big Guy"),40000,(IF(B16="Legendary Linemen",0,50000)))</f>
        <v>50000</v>
      </c>
      <c r="AS17" s="239">
        <f>IF(B16="Brutal Blockers",0,30000)</f>
        <v>30000</v>
      </c>
      <c r="AT17" s="234">
        <f>IF(B16="Stunty Superstar",30000,(IF(B16="Reliable Ringers",40000,20000)))</f>
        <v>20000</v>
      </c>
      <c r="AV17" s="248"/>
    </row>
    <row r="18" spans="1:48" s="13" customFormat="1" ht="22.5" customHeight="1" x14ac:dyDescent="0.2">
      <c r="A18" s="465" t="s">
        <v>1263</v>
      </c>
      <c r="B18" s="466"/>
      <c r="C18" s="466"/>
      <c r="D18" s="466"/>
      <c r="E18" s="466"/>
      <c r="F18" s="466"/>
      <c r="G18" s="466"/>
      <c r="H18" s="467"/>
      <c r="I18" s="279" t="str">
        <f>IF(Roster!$K$25="Italiano","COSTO",(IF(Roster!$K$25="Español","PRECIO",(IF(Roster!$K$25="Deutsch","WERT",(IF(Roster!$K$25="Français","VALEUR","COST")))))))</f>
        <v>COST</v>
      </c>
      <c r="J18" s="279" t="str">
        <f>IF(Roster!$K$25="Español","MO",(IF(Roster!$K$25="Deutsch","BE",(IF(Roster!$K$25="Français","M","MA")))))</f>
        <v>MA</v>
      </c>
      <c r="K18" s="279" t="str">
        <f>IF(Roster!$K$25="Italiano","COSTO",(IF(Roster!$K$25="Español","PRECIO",(IF(Roster!$K$25="Deutsch","WERT",(IF(Roster!$K$25="Français","VALEUR","COST")))))))</f>
        <v>COST</v>
      </c>
      <c r="L18" s="279" t="str">
        <f>IF(Roster!$K$25="Español","FU",(IF(Roster!$K$25="Français","F","ST")))</f>
        <v>ST</v>
      </c>
      <c r="M18" s="279" t="str">
        <f>IF(Roster!$K$25="Italiano","COSTO",(IF(Roster!$K$25="Español","PRECIO",(IF(Roster!$K$25="Deutsch","WERT",(IF(Roster!$K$25="Français","VALEUR","COST")))))))</f>
        <v>COST</v>
      </c>
      <c r="N18" s="279" t="str">
        <f>IF(Roster!$K$25="Deutsch","GE","AG")</f>
        <v>AG</v>
      </c>
      <c r="O18" s="279" t="str">
        <f>IF(Roster!$K$25="Italiano","COSTO",(IF(Roster!$K$25="Español","PRECIO",(IF(Roster!$K$25="Deutsch","WERT",(IF(Roster!$K$25="Français","VALEUR","COST")))))))</f>
        <v>COST</v>
      </c>
      <c r="P18" s="279" t="str">
        <f>IF(Roster!$K$25="Deutsch","WG",(IF(Roster!$K$25="Français","CP","PA")))</f>
        <v>PA</v>
      </c>
      <c r="Q18" s="279" t="str">
        <f>IF(Roster!$K$25="Italiano","COSTO",(IF(Roster!$K$25="Español","PRECIO",(IF(Roster!$K$25="Deutsch","WERT",(IF(Roster!$K$25="Français","VALEUR","COST")))))))</f>
        <v>COST</v>
      </c>
      <c r="R18" s="279" t="str">
        <f>IF(Roster!$K$25="Español","AR",(IF(Roster!$K$25="Deutsch","RW",(IF(Roster!$K$25="Français","AR","AV")))))</f>
        <v>AV</v>
      </c>
      <c r="S18" s="279" t="str">
        <f>IF(Roster!$K$25="Italiano","COSTO",(IF(Roster!$K$25="Español","PRECIO",(IF(Roster!$K$25="Deutsch","WERT",(IF(Roster!$K$25="Français","VALEUR","COST")))))))</f>
        <v>COST</v>
      </c>
      <c r="T18" s="455"/>
      <c r="U18" s="225"/>
      <c r="V18" s="233" t="str">
        <f t="shared" si="1"/>
        <v/>
      </c>
      <c r="W18" s="234" t="str">
        <f t="shared" si="1"/>
        <v/>
      </c>
      <c r="X18" s="231"/>
      <c r="Y18" s="229" t="s">
        <v>1265</v>
      </c>
      <c r="Z18" s="240">
        <v>0</v>
      </c>
      <c r="AA18" s="240">
        <v>0</v>
      </c>
      <c r="AB18" s="240">
        <v>0</v>
      </c>
      <c r="AC18" s="240">
        <v>0</v>
      </c>
      <c r="AD18" s="240">
        <v>0</v>
      </c>
      <c r="AE18" s="232" t="str">
        <f>""</f>
        <v/>
      </c>
      <c r="AF18" s="232" t="str">
        <f>""</f>
        <v/>
      </c>
      <c r="AG18" s="232" t="str">
        <f>""</f>
        <v/>
      </c>
      <c r="AH18" s="232" t="str">
        <f>""</f>
        <v/>
      </c>
      <c r="AI18" s="260">
        <v>0</v>
      </c>
      <c r="AK18" s="238">
        <v>2</v>
      </c>
      <c r="AL18" s="239">
        <v>0</v>
      </c>
      <c r="AM18" s="239">
        <f>IF(B16="Legendary Linemen",0,-2)</f>
        <v>-2</v>
      </c>
      <c r="AN18" s="239">
        <f>IF(B16="Brutal Blockers",0,-2)</f>
        <v>-2</v>
      </c>
      <c r="AO18" s="234">
        <v>2</v>
      </c>
      <c r="AP18" s="238">
        <f>IF(OR(B16="Stunty Superstar",B16="Reliable Ringers"),48000,(IF(B16="Legendary Linemen",40000,50000)))</f>
        <v>50000</v>
      </c>
      <c r="AQ18" s="239">
        <v>0</v>
      </c>
      <c r="AR18" s="239">
        <f>IF(OR(B16="Stunty Superstar",B16="Bona Fide Big Guy"),80000,(IF(B16="Legendary Linemen",0,100000)))</f>
        <v>100000</v>
      </c>
      <c r="AS18" s="239">
        <f>IF(B16="Brutal Blockers",0,70000)</f>
        <v>70000</v>
      </c>
      <c r="AT18" s="234">
        <f>IF(B16="Stunty Superstar",48000,(IF(B16="Reliable Ringers",80000,40000)))</f>
        <v>40000</v>
      </c>
      <c r="AV18" s="248"/>
    </row>
    <row r="19" spans="1:48" s="13" customFormat="1" ht="22.5" customHeight="1" x14ac:dyDescent="0.2">
      <c r="A19" s="468"/>
      <c r="B19" s="469"/>
      <c r="C19" s="469"/>
      <c r="D19" s="469"/>
      <c r="E19" s="469"/>
      <c r="F19" s="469"/>
      <c r="G19" s="469"/>
      <c r="H19" s="470"/>
      <c r="I19" s="281">
        <f>IFERROR((VLOOKUP(A19,V17:W23,2,FALSE)),0)</f>
        <v>0</v>
      </c>
      <c r="J19" s="280">
        <v>0</v>
      </c>
      <c r="K19" s="281">
        <f>IFERROR((VLOOKUP(J19,AK16:AT20,6,FALSE)),"ILEGAL")</f>
        <v>0</v>
      </c>
      <c r="L19" s="280">
        <v>0</v>
      </c>
      <c r="M19" s="281">
        <f>IFERROR((VLOOKUP(L19,AL16:AT20,6,FALSE)),"ILEGAL")</f>
        <v>0</v>
      </c>
      <c r="N19" s="280">
        <v>0</v>
      </c>
      <c r="O19" s="281">
        <f>IFERROR((VLOOKUP(N19,AM16:AT20,6,FALSE)),"ILEGAL")</f>
        <v>0</v>
      </c>
      <c r="P19" s="280">
        <v>0</v>
      </c>
      <c r="Q19" s="281">
        <f>IFERROR((VLOOKUP(P19,AN16:AT20,6,FALSE)),"ILEGAL")</f>
        <v>0</v>
      </c>
      <c r="R19" s="280">
        <v>0</v>
      </c>
      <c r="S19" s="281">
        <f>IFERROR((VLOOKUP(R19,AO16:AT20,6,FALSE)),"ILEGAL")</f>
        <v>0</v>
      </c>
      <c r="T19" s="455"/>
      <c r="V19" s="233" t="str">
        <f t="shared" si="1"/>
        <v/>
      </c>
      <c r="W19" s="234" t="str">
        <f t="shared" si="1"/>
        <v/>
      </c>
      <c r="X19" s="231"/>
      <c r="Y19" s="233" t="s">
        <v>1267</v>
      </c>
      <c r="Z19" s="239">
        <v>5</v>
      </c>
      <c r="AA19" s="239">
        <v>2</v>
      </c>
      <c r="AB19" s="239">
        <v>3</v>
      </c>
      <c r="AC19" s="239">
        <v>4</v>
      </c>
      <c r="AD19" s="239">
        <v>6</v>
      </c>
      <c r="AE19" s="241" t="str">
        <f>IF(((COUNTIF(AE16,"A"))+(COUNTIF(AE16,"B"))+(COUNTIF(AE16,"H"))+(COUNTIF(AE16,"I"))+(COUNTIF(AE16,"M")))=1,"Loner (5+)","Loner (4+)")</f>
        <v>Loner (4+)</v>
      </c>
      <c r="AF19" s="241" t="s">
        <v>272</v>
      </c>
      <c r="AG19" s="241" t="s">
        <v>1268</v>
      </c>
      <c r="AH19" s="241" t="s">
        <v>1269</v>
      </c>
      <c r="AI19" s="234">
        <v>30000</v>
      </c>
      <c r="AK19" s="238">
        <v>-1</v>
      </c>
      <c r="AL19" s="239">
        <v>-1</v>
      </c>
      <c r="AM19" s="239">
        <v>1</v>
      </c>
      <c r="AN19" s="239">
        <v>1</v>
      </c>
      <c r="AO19" s="234">
        <v>-1</v>
      </c>
      <c r="AP19" s="238">
        <v>-10000</v>
      </c>
      <c r="AQ19" s="239">
        <v>-10000</v>
      </c>
      <c r="AR19" s="239">
        <v>-10000</v>
      </c>
      <c r="AS19" s="239">
        <v>-10000</v>
      </c>
      <c r="AT19" s="234">
        <v>-10000</v>
      </c>
      <c r="AV19" s="248"/>
    </row>
    <row r="20" spans="1:48" s="13" customFormat="1" ht="22.5" customHeight="1" x14ac:dyDescent="0.2">
      <c r="A20" s="282" t="str">
        <f>IF(Roster!$K$25="Italiano","TIPO",(IF(Roster!$K$25="Español","TIPO",(IF(Roster!$K$25="Deutsch","POSITION",(IF(Roster!$K$25="Français","POSTE","TYPE")))))))</f>
        <v>TYPE</v>
      </c>
      <c r="B20" s="283" t="str">
        <f>IF($J$40="Italiano","AVANZAMENTO 1",(IF($J$40="Español","MEJORA 1",(IF($J$40="Deutsch","VERBES-SERUNG 1",(IF($J$40="Français","AMÉLIORATION 1","UPGRADE 1")))))))</f>
        <v>UPGRADE 1</v>
      </c>
      <c r="C20" s="284" t="str">
        <f>IF(Roster!$K$25="Italiano","COSTO",(IF(Roster!$K$25="Español","PRECIO",(IF(Roster!$K$25="Deutsch","WERT",(IF(Roster!$K$25="Français","VALEUR","COST")))))))</f>
        <v>COST</v>
      </c>
      <c r="D20" s="463" t="str">
        <f>IF($J$40="Italiano","AVANZAMENTO 2",(IF($J$40="Español","MEJORA 2",(IF($J$40="Deutsch","VERBES-SERUNG 2",(IF($J$40="Français","AMÉLIORATION 2","UPGRADE 2")))))))</f>
        <v>UPGRADE 2</v>
      </c>
      <c r="E20" s="464"/>
      <c r="F20" s="284" t="str">
        <f>IF(Roster!$K$25="Italiano","COSTO",(IF(Roster!$K$25="Español","PRECIO",(IF(Roster!$K$25="Deutsch","WERT",(IF(Roster!$K$25="Français","VALEUR","COST")))))))</f>
        <v>COST</v>
      </c>
      <c r="G20" s="463" t="str">
        <f>IF($J$40="Italiano","AVANZAMENTO 3",(IF($J$40="Español","MEJORA 3",(IF($J$40="Deutsch","VERBES-SERUNG 3",(IF($J$40="Français","AMÉLIORATION 3","UPGRADE 3")))))))</f>
        <v>UPGRADE 3</v>
      </c>
      <c r="H20" s="464"/>
      <c r="I20" s="279" t="str">
        <f>IF(Roster!$K$25="Italiano","COSTO",(IF(Roster!$K$25="Español","PRECIO",(IF(Roster!$K$25="Deutsch","WERT",(IF(Roster!$K$25="Français","VALEUR","COST")))))))</f>
        <v>COST</v>
      </c>
      <c r="J20" s="463" t="str">
        <f>IF($J$40="Italiano","AVANZAMENTO 4",(IF($J$40="Español","MEJORA 4",(IF($J$40="Deutsch","VERBES-SERUNG 4",(IF($J$40="Français","AMÉLIORATION 4","UPGRADE 4")))))))</f>
        <v>UPGRADE 4</v>
      </c>
      <c r="K20" s="464"/>
      <c r="L20" s="279" t="str">
        <f>IF(Roster!$K$25="Italiano","COSTO",(IF(Roster!$K$25="Español","PRECIO",(IF(Roster!$K$25="Deutsch","WERT",(IF(Roster!$K$25="Français","VALEUR","COST")))))))</f>
        <v>COST</v>
      </c>
      <c r="M20" s="463" t="str">
        <f>IF($J$40="Italiano","AVANZAMENTO 5",(IF($J$40="Español","MEJORA 5",(IF($J$40="Deutsch","VERBES-SERUNG 5",(IF($J$40="Français","AMÉLIORATION 5","UPGRADE 5")))))))</f>
        <v>UPGRADE 5</v>
      </c>
      <c r="N20" s="464"/>
      <c r="O20" s="279" t="str">
        <f>IF(Roster!$K$25="Italiano","COSTO",(IF(Roster!$K$25="Español","PRECIO",(IF(Roster!$K$25="Deutsch","WERT",(IF(Roster!$K$25="Français","VALEUR","COST")))))))</f>
        <v>COST</v>
      </c>
      <c r="P20" s="463" t="str">
        <f>IF($J$40="Italiano","AVANZAMENTO 6",(IF($J$40="Español","MEJORA 6",(IF($J$40="Deutsch","VERBES-SERUNG 6",(IF($J$40="Français","AMÉLIORATION 6","UPGRADE 6")))))))</f>
        <v>UPGRADE 6</v>
      </c>
      <c r="Q20" s="464"/>
      <c r="R20" s="279" t="str">
        <f>IF(Roster!$K$25="Italiano","COSTO",(IF(Roster!$K$25="Español","PRECIO",(IF(Roster!$K$25="Deutsch","WERT",(IF(Roster!$K$25="Français","VALEUR","COST")))))))</f>
        <v>COST</v>
      </c>
      <c r="S20" s="279" t="s">
        <v>1264</v>
      </c>
      <c r="T20" s="455"/>
      <c r="V20" s="233" t="str">
        <f t="shared" si="1"/>
        <v/>
      </c>
      <c r="W20" s="234" t="str">
        <f t="shared" si="1"/>
        <v/>
      </c>
      <c r="X20" s="231"/>
      <c r="Y20" s="233" t="s">
        <v>1270</v>
      </c>
      <c r="Z20" s="239">
        <v>6</v>
      </c>
      <c r="AA20" s="239">
        <v>3</v>
      </c>
      <c r="AB20" s="239">
        <v>3</v>
      </c>
      <c r="AC20" s="239">
        <v>4</v>
      </c>
      <c r="AD20" s="239">
        <v>9</v>
      </c>
      <c r="AE20" s="241" t="str">
        <f>IF(((COUNTIF(AE16,"A"))+(COUNTIF(AE16,"B"))+(COUNTIF(AE16,"H"))+(COUNTIF(AE16,"I"))+(COUNTIF(AE16,"M")))=1,"Loner (5+)","Loner (4+)")</f>
        <v>Loner (4+)</v>
      </c>
      <c r="AF20" s="241" t="str">
        <f>""</f>
        <v/>
      </c>
      <c r="AG20" s="241" t="str">
        <f>""</f>
        <v/>
      </c>
      <c r="AH20" s="241" t="str">
        <f>""</f>
        <v/>
      </c>
      <c r="AI20" s="234">
        <v>50000</v>
      </c>
      <c r="AK20" s="242">
        <v>-2</v>
      </c>
      <c r="AL20" s="243">
        <f>IF(B16="Stunty Superstar",0,-2)</f>
        <v>-2</v>
      </c>
      <c r="AM20" s="243">
        <v>2</v>
      </c>
      <c r="AN20" s="243">
        <v>2</v>
      </c>
      <c r="AO20" s="244">
        <v>-2</v>
      </c>
      <c r="AP20" s="242">
        <v>-20000</v>
      </c>
      <c r="AQ20" s="243">
        <v>-20000</v>
      </c>
      <c r="AR20" s="243">
        <v>-20000</v>
      </c>
      <c r="AS20" s="243">
        <v>-20000</v>
      </c>
      <c r="AT20" s="244">
        <v>-20000</v>
      </c>
      <c r="AV20" s="248"/>
    </row>
    <row r="21" spans="1:48" s="13" customFormat="1" ht="22.5" customHeight="1" x14ac:dyDescent="0.2">
      <c r="A21" s="285" t="str">
        <f>IF($J$40="Italiano","GENERALE:",(IF($J$40="Français","GÉNÉRALE:","GENERAL:")))</f>
        <v>GENERAL:</v>
      </c>
      <c r="B21" s="253"/>
      <c r="C21" s="281">
        <f>IF(B21&lt;&gt;"",(IF(B16="Legendary Linemen",20000,(IF(B16="Reliable Ringers",30000,(IF(B16="Mercenaries",0,40000)))))),0)</f>
        <v>0</v>
      </c>
      <c r="D21" s="460"/>
      <c r="E21" s="461"/>
      <c r="F21" s="281" t="str">
        <f>IF(B16&lt;&gt;"Legendary Linemen","ILEGAL",(IF(D21&lt;&gt;"",50000,0)))</f>
        <v>ILEGAL</v>
      </c>
      <c r="G21" s="460"/>
      <c r="H21" s="461"/>
      <c r="I21" s="281" t="str">
        <f>IF(B16&lt;&gt;"Legendary Linemen","ILEGAL",(IF(G21&lt;&gt;"",80000,0)))</f>
        <v>ILEGAL</v>
      </c>
      <c r="J21" s="460"/>
      <c r="K21" s="461"/>
      <c r="L21" s="281" t="str">
        <f>IF(B16&lt;&gt;"Legendary Linemen","ILEGAL",(IF(J21&lt;&gt;"",110000,0)))</f>
        <v>ILEGAL</v>
      </c>
      <c r="M21" s="460"/>
      <c r="N21" s="461"/>
      <c r="O21" s="281" t="str">
        <f>IF(B16&lt;&gt;"Legendary Linemen","ILEGAL",(IF(M21&lt;&gt;"",140000,0)))</f>
        <v>ILEGAL</v>
      </c>
      <c r="P21" s="460"/>
      <c r="Q21" s="461"/>
      <c r="R21" s="281" t="str">
        <f>IF(B16&lt;&gt;"Legendary Linemen","ILEGAL",(IF(P21&lt;&gt;"",170000,0)))</f>
        <v>ILEGAL</v>
      </c>
      <c r="S21" s="281">
        <f>SUM(C21,F21,I21,L21,O21,R21)</f>
        <v>0</v>
      </c>
      <c r="T21" s="455"/>
      <c r="V21" s="233" t="str">
        <f t="shared" si="1"/>
        <v/>
      </c>
      <c r="W21" s="234" t="str">
        <f t="shared" si="1"/>
        <v/>
      </c>
      <c r="X21" s="231"/>
      <c r="Y21" s="233" t="s">
        <v>1272</v>
      </c>
      <c r="Z21" s="239">
        <v>4</v>
      </c>
      <c r="AA21" s="239">
        <v>4</v>
      </c>
      <c r="AB21" s="239">
        <v>4</v>
      </c>
      <c r="AC21" s="239">
        <v>6</v>
      </c>
      <c r="AD21" s="239">
        <v>9</v>
      </c>
      <c r="AE21" s="241" t="str">
        <f>IF(((COUNTIF(AE16,"A"))+(COUNTIF(AE16,"B"))+(COUNTIF(AE16,"H"))+(COUNTIF(AE16,"I"))+(COUNTIF(AE16,"M")))=1,"Loner (5+)","Loner (4+)")</f>
        <v>Loner (4+)</v>
      </c>
      <c r="AF21" s="241" t="str">
        <f>IF(OR(AE16="H",AE16="M"),"Mighty Blow (+2)","")</f>
        <v/>
      </c>
      <c r="AG21" s="241" t="str">
        <f>""</f>
        <v/>
      </c>
      <c r="AH21" s="241" t="str">
        <f>""</f>
        <v/>
      </c>
      <c r="AI21" s="234">
        <v>70000</v>
      </c>
      <c r="AK21" s="23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8"/>
    </row>
    <row r="22" spans="1:48" s="13" customFormat="1" ht="22.5" customHeight="1" x14ac:dyDescent="0.2">
      <c r="A22" s="285" t="str">
        <f>IF($J$40="Italiano","FORZA:",(IF($J$40="Español","FUERZA:",(IF($J$40="Français","FORCE:","STRENGTH:")))))</f>
        <v>STRENGTH:</v>
      </c>
      <c r="B22" s="253"/>
      <c r="C22" s="281">
        <f>IF(B22&lt;&gt;"",(IF(B16="Stunty Superstar","ILEGAL",(IF(B16="Reliable Ringers",50000,(IF(B16="Mercenaries",0,30000)))))),0)</f>
        <v>0</v>
      </c>
      <c r="D22" s="460"/>
      <c r="E22" s="461"/>
      <c r="F22" s="281" t="str">
        <f>IF($B$3&lt;&gt;"Brutal Blockers",(IF($B$3&lt;&gt;"Bona Fide Big Guy","ILEGAL",(IF(D22&lt;&gt;"",70000,0)))),(IF(D22&lt;&gt;"",70000,0)))</f>
        <v>ILEGAL</v>
      </c>
      <c r="G22" s="460"/>
      <c r="H22" s="461"/>
      <c r="I22" s="281" t="str">
        <f>IF($B$3&lt;&gt;"Brutal Blockers",(IF($B$3&lt;&gt;"Bona Fide Big Guy","ILEGAL",(IF(G22&lt;&gt;"",110000,0)))),(IF(G22&lt;&gt;"",110000,0)))</f>
        <v>ILEGAL</v>
      </c>
      <c r="J22" s="460"/>
      <c r="K22" s="461"/>
      <c r="L22" s="281" t="str">
        <f>IF($B$3&lt;&gt;"Brutal Blockers",(IF($B$3&lt;&gt;"Bona Fide Big Guy","ILEGAL",(IF(J22&lt;&gt;"",150000,0)))),(IF(J22&lt;&gt;"",150000,0)))</f>
        <v>ILEGAL</v>
      </c>
      <c r="M22" s="460"/>
      <c r="N22" s="461"/>
      <c r="O22" s="281" t="str">
        <f>IF($B$3&lt;&gt;"Brutal Blockers",(IF($B$3&lt;&gt;"Bona Fide Big Guy","ILEGAL",(IF(M22&lt;&gt;"",190000,0)))),(IF(M22&lt;&gt;"",190000,0)))</f>
        <v>ILEGAL</v>
      </c>
      <c r="P22" s="460"/>
      <c r="Q22" s="461"/>
      <c r="R22" s="281" t="str">
        <f>IF($B$3&lt;&gt;"Brutal Blockers",(IF($B$3&lt;&gt;"Bona Fide Big Guy","ILEGAL",(IF(P22&lt;&gt;"",230000,0)))),(IF(P22&lt;&gt;"",230000,0)))</f>
        <v>ILEGAL</v>
      </c>
      <c r="S22" s="281">
        <f t="shared" ref="S22:S25" si="2">SUM(C22,F22,I22,L22,O22,R22)</f>
        <v>0</v>
      </c>
      <c r="T22" s="455"/>
      <c r="V22" s="233" t="str">
        <f t="shared" si="1"/>
        <v/>
      </c>
      <c r="W22" s="234" t="str">
        <f t="shared" si="1"/>
        <v/>
      </c>
      <c r="X22" s="231"/>
      <c r="Y22" s="233" t="s">
        <v>1261</v>
      </c>
      <c r="Z22" s="239">
        <v>6</v>
      </c>
      <c r="AA22" s="239">
        <v>3</v>
      </c>
      <c r="AB22" s="239">
        <v>2</v>
      </c>
      <c r="AC22" s="239">
        <v>3</v>
      </c>
      <c r="AD22" s="239">
        <v>8</v>
      </c>
      <c r="AE22" s="241" t="str">
        <f>IF(((COUNTIF(AE16,"A"))+(COUNTIF(AE16,"B"))+(COUNTIF(AE16,"H"))+(COUNTIF(AE16,"I"))+(COUNTIF(AE16,"M")))=1,"Loner (5+)","Loner (4+)")</f>
        <v>Loner (4+)</v>
      </c>
      <c r="AF22" s="241" t="str">
        <f>""</f>
        <v/>
      </c>
      <c r="AG22" s="241" t="str">
        <f>""</f>
        <v/>
      </c>
      <c r="AH22" s="241" t="str">
        <f>""</f>
        <v/>
      </c>
      <c r="AI22" s="234">
        <v>70000</v>
      </c>
      <c r="AV22" s="248"/>
    </row>
    <row r="23" spans="1:48" s="13" customFormat="1" ht="22.5" customHeight="1" x14ac:dyDescent="0.2">
      <c r="A23" s="285" t="str">
        <f>IF($J$40="Italiano","AGILITÀ:",(IF($J$40="Español","AGILIDAD:",(IF($J$40="Deutsch","AGILITÄT:",(IF($J$40="Français","AGILITÉ:","AGILITY:")))))))</f>
        <v>AGILITY:</v>
      </c>
      <c r="B23" s="253"/>
      <c r="C23" s="281">
        <f>IF(B16="Bona Fide Big Guy","ILEGAL",IF(B23&lt;&gt;"",(IF(B16="Stunty Superstar",10000,(IF(B16="Brutal Blockers",40000,(IF(B16="Mercenaries",0,30000)))))),0))</f>
        <v>0</v>
      </c>
      <c r="D23" s="460"/>
      <c r="E23" s="461"/>
      <c r="F23" s="281" t="str">
        <f>IF($B$3&lt;&gt;"Stunty Superstar",(IF($B$3&lt;&gt;"Reliable Ringers","ILEGAL",(IF(D23&lt;&gt;"",70000,0)))),(IF(D23&lt;&gt;"",30000,0)))</f>
        <v>ILEGAL</v>
      </c>
      <c r="G23" s="460"/>
      <c r="H23" s="461"/>
      <c r="I23" s="281" t="str">
        <f>IF($B$3&lt;&gt;"Stunty Superstar",(IF($B$3&lt;&gt;"Reliable Ringers","ILEGAL",(IF(G23&lt;&gt;"",110000,0)))),(IF(G23&lt;&gt;"",50000,0)))</f>
        <v>ILEGAL</v>
      </c>
      <c r="J23" s="460"/>
      <c r="K23" s="461"/>
      <c r="L23" s="281" t="str">
        <f>IF($B$3&lt;&gt;"Stunty Superstar",(IF($B$3&lt;&gt;"Reliable Ringers","ILEGAL",(IF(J23&lt;&gt;"",150000,0)))),(IF(J23&lt;&gt;"",70000,0)))</f>
        <v>ILEGAL</v>
      </c>
      <c r="M23" s="460"/>
      <c r="N23" s="461"/>
      <c r="O23" s="281" t="str">
        <f>IF($B$3&lt;&gt;"Stunty Superstar",(IF($B$3&lt;&gt;"Reliable Ringers","ILEGAL",(IF(M23&lt;&gt;"",190000,0)))),(IF(M23&lt;&gt;"",90000,0)))</f>
        <v>ILEGAL</v>
      </c>
      <c r="P23" s="460"/>
      <c r="Q23" s="461"/>
      <c r="R23" s="281" t="str">
        <f>IF($B$3&lt;&gt;"Stunty Superstar",(IF($B$3&lt;&gt;"Reliable Ringers","ILEGAL",(IF(P23&lt;&gt;"",230000,0)))),(IF(P23&lt;&gt;"",110000,0)))</f>
        <v>ILEGAL</v>
      </c>
      <c r="S23" s="281">
        <f t="shared" si="2"/>
        <v>0</v>
      </c>
      <c r="T23" s="455"/>
      <c r="V23" s="235" t="str">
        <f t="shared" si="1"/>
        <v/>
      </c>
      <c r="W23" s="244" t="str">
        <f t="shared" si="1"/>
        <v/>
      </c>
      <c r="X23" s="231"/>
      <c r="Y23" s="235" t="s">
        <v>1273</v>
      </c>
      <c r="Z23" s="243">
        <v>4</v>
      </c>
      <c r="AA23" s="243">
        <v>5</v>
      </c>
      <c r="AB23" s="243">
        <v>4</v>
      </c>
      <c r="AC23" s="243">
        <v>5</v>
      </c>
      <c r="AD23" s="243">
        <v>9</v>
      </c>
      <c r="AE23" s="236" t="str">
        <f>IF(((COUNTIF(AE16,"A"))+(COUNTIF(AE16,"B"))+(COUNTIF(AE16,"H"))+(COUNTIF(AE16,"I"))+(COUNTIF(AE16,"M")))=1,"Loner (5+)","Loner (4+)")</f>
        <v>Loner (4+)</v>
      </c>
      <c r="AF23" s="236" t="str">
        <f>IF(OR(AE16="J",AE16="K",AE16="L",AE16="M",AE16="N"),"","Bone Head")</f>
        <v>Bone Head</v>
      </c>
      <c r="AG23" s="236" t="str">
        <f>IF(OR(AE16="H",AE16="M"),"Mighty Blow (+2)","Mighty Blow (+1)")</f>
        <v>Mighty Blow (+1)</v>
      </c>
      <c r="AH23" s="236" t="str">
        <f>IF(OR(AE16="K",AE16="L"),"","Throw Team Mate")</f>
        <v>Throw Team Mate</v>
      </c>
      <c r="AI23" s="244">
        <v>130000</v>
      </c>
      <c r="AV23" s="248"/>
    </row>
    <row r="24" spans="1:48" s="13" customFormat="1" ht="22.5" customHeight="1" x14ac:dyDescent="0.2">
      <c r="A24" s="285" t="str">
        <f>IF($J$40="Español","PASE:",(IF($J$40="Français","PASSER:","PASS:")))</f>
        <v>PASS:</v>
      </c>
      <c r="B24" s="253"/>
      <c r="C24" s="281">
        <f>IF(B24&lt;&gt;"",(IF(B16="Mercenaries",0,(IF(OR(B16="Reliable Ringers",B16="Bona Fide Big Guy"),30000,20000)))),0)</f>
        <v>0</v>
      </c>
      <c r="D24" s="460"/>
      <c r="E24" s="461"/>
      <c r="F24" s="281" t="s">
        <v>1262</v>
      </c>
      <c r="G24" s="460"/>
      <c r="H24" s="461"/>
      <c r="I24" s="281" t="s">
        <v>1262</v>
      </c>
      <c r="J24" s="460"/>
      <c r="K24" s="461"/>
      <c r="L24" s="281" t="s">
        <v>1262</v>
      </c>
      <c r="M24" s="460"/>
      <c r="N24" s="461"/>
      <c r="O24" s="281" t="s">
        <v>1262</v>
      </c>
      <c r="P24" s="460"/>
      <c r="Q24" s="461"/>
      <c r="R24" s="281" t="s">
        <v>1262</v>
      </c>
      <c r="S24" s="281">
        <f t="shared" si="2"/>
        <v>0</v>
      </c>
      <c r="T24" s="455"/>
      <c r="V24" s="231"/>
      <c r="W24" s="231"/>
      <c r="X24" s="231"/>
      <c r="Y24" s="231"/>
      <c r="Z24" s="231"/>
      <c r="AA24" s="231"/>
      <c r="AB24" s="231"/>
      <c r="AC24" s="231"/>
      <c r="AD24" s="231"/>
      <c r="AE24" s="231"/>
      <c r="AF24" s="231"/>
      <c r="AG24" s="231"/>
      <c r="AH24" s="231"/>
      <c r="AI24" s="231"/>
      <c r="AV24" s="248"/>
    </row>
    <row r="25" spans="1:48" s="13" customFormat="1" ht="22.5" customHeight="1" x14ac:dyDescent="0.2">
      <c r="A25" s="279" t="str">
        <f>IF($J$40="Italiano","MUTAZIONE:",(IF($J$40="Español","MUTACIÓN:","MUTATION:")))</f>
        <v>MUTATION:</v>
      </c>
      <c r="B25" s="253"/>
      <c r="C25" s="281">
        <f>IF(B3="Reliable Ringers","ILEGAL",IF(B25&lt;&gt;"",(IF(B16="Mercenaries",0,(IF(OR(B16="Brutal Blockers",B16="Bona Fide Big Guy"),40000,IF(B16="Stunty Superstar",30000,IF(B16="Legendary Linemen",30000,(IF(B25="Big Hand",30000,(IF(B25="Extra Arms",20000,(IF(B25="Two Heads",30000,(IF(B25="Very Long Legs",30000,0)))))))))))))),0))</f>
        <v>0</v>
      </c>
      <c r="D25" s="460"/>
      <c r="E25" s="461"/>
      <c r="F25" s="281" t="str">
        <f>IF(B3="Reliable Ringers","ILEGAL",IF(OR($B$3="Stunty Superstar",$B$3="Brutal Blockers",$B$3="Bona Fide Big Guy",$B$3="Mercenaries"),"ILEGAL",(IF(D25&lt;&gt;"",(IF($B$3="Legendary Linemen",70000,(IF(D25="Big Hand",30000,(IF(D25="Extra Arms",20000,(IF(D25="Two Heads",30000,(IF(D25="Very Long Legs",30000,"ILEGAL")))))))))),0))))</f>
        <v>ILEGAL</v>
      </c>
      <c r="G25" s="460"/>
      <c r="H25" s="461"/>
      <c r="I25" s="281" t="str">
        <f>IF(B3="Reliable Ringers","ILEGAL",IF(OR($B$3="Stunty Superstar",$B$3="Brutal Blockers",$B$3="Bona Fide Big Guy",$B$3="Mercenaries"),"ILEGAL",(IF(G25&lt;&gt;"",(IF($B$3="Legendary Linemen",110000,(IF(G25="Big Hand",30000,(IF(G25="Extra Arms",20000,(IF(G25="Two Heads",30000,(IF(G25="Very Long Legs",30000,0)))))))))),0))))</f>
        <v>ILEGAL</v>
      </c>
      <c r="J25" s="460"/>
      <c r="K25" s="461"/>
      <c r="L25" s="281" t="str">
        <f>IF(B3="Reliable Ringers","ILEGAL",IF(OR($B$3="Stunty Superstar",$B$3="Brutal Blockers",$B$3="Bona Fide Big Guy",$B$3="Mercenaries"),"ILEGAL",(IF(J25&lt;&gt;"",(IF($B$3="Legendary Linemen",150000,(IF(J25="Big Hand",30000,(IF(J25="Extra Arms",20000,(IF(J25="Two Heads",30000,(IF(J25="Very Long Legs",30000,0)))))))))),0))))</f>
        <v>ILEGAL</v>
      </c>
      <c r="M25" s="460"/>
      <c r="N25" s="461"/>
      <c r="O25" s="281" t="str">
        <f>IF(B16&lt;&gt;"Legendary Linemen","ILEGAL",(IF(M25&lt;&gt;"",190000,0)))</f>
        <v>ILEGAL</v>
      </c>
      <c r="P25" s="460"/>
      <c r="Q25" s="461"/>
      <c r="R25" s="281" t="str">
        <f>IF(B16&lt;&gt;"Legendary Linemen","ILEGAL",(IF(P25&lt;&gt;"",230000,0)))</f>
        <v>ILEGAL</v>
      </c>
      <c r="S25" s="281">
        <f t="shared" si="2"/>
        <v>0</v>
      </c>
      <c r="T25" s="455"/>
      <c r="V25" s="245" t="s">
        <v>1264</v>
      </c>
      <c r="W25" s="246">
        <f>SUM(Y25:AI25)</f>
        <v>0</v>
      </c>
      <c r="X25" s="246"/>
      <c r="Y25" s="246">
        <f>IF(K19="ILEGAL",0,K19)</f>
        <v>0</v>
      </c>
      <c r="Z25" s="246">
        <f>IF(M19="ILEGAL",0,M19)</f>
        <v>0</v>
      </c>
      <c r="AA25" s="246">
        <f>IF(O19="ILEGAL",0,O19)</f>
        <v>0</v>
      </c>
      <c r="AB25" s="246">
        <f>IF(Q19="ILEGAL",0,Q19)</f>
        <v>0</v>
      </c>
      <c r="AC25" s="246">
        <f>IF(S19="ILEGAL",0,S19)</f>
        <v>0</v>
      </c>
      <c r="AD25" s="246">
        <f>I19</f>
        <v>0</v>
      </c>
      <c r="AE25" s="246">
        <f>S21</f>
        <v>0</v>
      </c>
      <c r="AF25" s="246">
        <f>S22</f>
        <v>0</v>
      </c>
      <c r="AG25" s="246">
        <f>S23</f>
        <v>0</v>
      </c>
      <c r="AH25" s="246">
        <f>S24</f>
        <v>0</v>
      </c>
      <c r="AI25" s="247">
        <f>S25</f>
        <v>0</v>
      </c>
      <c r="AV25" s="248"/>
    </row>
    <row r="26" spans="1:48" s="13" customFormat="1" ht="15" customHeight="1" x14ac:dyDescent="0.2">
      <c r="A26" s="286"/>
      <c r="B26" s="287"/>
      <c r="C26" s="287"/>
      <c r="D26" s="287"/>
      <c r="E26" s="287"/>
      <c r="F26" s="287"/>
      <c r="G26" s="287"/>
      <c r="H26" s="287"/>
      <c r="I26" s="287"/>
      <c r="J26" s="287"/>
      <c r="K26" s="287"/>
      <c r="L26" s="287"/>
      <c r="M26" s="287"/>
      <c r="N26" s="287"/>
      <c r="O26" s="287"/>
      <c r="P26" s="287"/>
      <c r="Q26" s="287"/>
      <c r="R26" s="287"/>
      <c r="S26" s="287"/>
      <c r="T26" s="455"/>
      <c r="V26" s="239"/>
      <c r="W26" s="239"/>
      <c r="X26" s="239"/>
      <c r="Y26" s="239"/>
      <c r="Z26" s="239"/>
      <c r="AA26" s="239"/>
      <c r="AB26" s="239"/>
      <c r="AC26" s="239"/>
      <c r="AD26" s="239"/>
      <c r="AE26" s="239"/>
      <c r="AF26" s="239"/>
      <c r="AG26" s="239"/>
      <c r="AH26" s="239"/>
      <c r="AI26" s="239"/>
      <c r="AV26" s="248"/>
    </row>
    <row r="27" spans="1:48" ht="21.75" customHeight="1" x14ac:dyDescent="0.2">
      <c r="A27" s="462" t="str">
        <f>IF(Roster!$K$25="Italiano","MERCENARIO 3",(IF(Roster!$K$25="Español","MERCENARIO 3",(IF(Roster!$K$25="Français","MERCENAIRE 3","MERCENARY 3")))))</f>
        <v>MERCENARY 3</v>
      </c>
      <c r="B27" s="462"/>
      <c r="C27" s="462"/>
      <c r="D27" s="462"/>
      <c r="E27" s="462"/>
      <c r="F27" s="462"/>
      <c r="G27" s="462"/>
      <c r="H27" s="462"/>
      <c r="I27" s="462"/>
      <c r="J27" s="462"/>
      <c r="K27" s="462"/>
      <c r="L27" s="462"/>
      <c r="M27" s="462"/>
      <c r="N27" s="462"/>
      <c r="O27" s="462"/>
      <c r="P27" s="462"/>
      <c r="Q27" s="462"/>
      <c r="R27" s="462"/>
      <c r="S27" s="462"/>
      <c r="T27" s="455"/>
    </row>
    <row r="28" spans="1:48" s="13" customFormat="1" ht="22.5" customHeight="1" x14ac:dyDescent="0.2">
      <c r="A28" s="279" t="str">
        <f>IF(Roster!$K$25="Italiano","MERCENARIO 3",(IF(Roster!$K$25="Español","MERCENARIO 3",(IF(Roster!$K$25="Français","MERCENAIRE 3","MERCENARY 3")))))</f>
        <v>MERCENARY 3</v>
      </c>
      <c r="B28" s="279" t="str">
        <f>IF(Roster!$K$25="Italiano","TIPO",(IF(Roster!$K$25="Español","TIPO",(IF(Roster!$K$25="Deutsch","POSITION",(IF(Roster!$K$25="Français","POSTE","TYPE")))))))</f>
        <v>TYPE</v>
      </c>
      <c r="C28" s="279" t="str">
        <f>IF(Roster!$K$25="Español","MO",(IF(Roster!$K$25="Deutsch","BE",(IF(Roster!$K$25="Français","M","MA")))))</f>
        <v>MA</v>
      </c>
      <c r="D28" s="279" t="str">
        <f>IF(Roster!$K$25="Español","FU",(IF(Roster!$K$25="Français","F","ST")))</f>
        <v>ST</v>
      </c>
      <c r="E28" s="279" t="str">
        <f>IF(Roster!$K$25="Deutsch","GE","AG")</f>
        <v>AG</v>
      </c>
      <c r="F28" s="279" t="str">
        <f>IF(Roster!$K$25="Deutsch","WG",(IF(Roster!$K$25="Français","CP","PA")))</f>
        <v>PA</v>
      </c>
      <c r="G28" s="279" t="str">
        <f>IF(Roster!$K$25="Español","AR",(IF(Roster!$K$25="Deutsch","RW",(IF(Roster!$K$25="Français","AR","AV")))))</f>
        <v>AV</v>
      </c>
      <c r="H28" s="465" t="str">
        <f>IF(Roster!$K$25="Italiano","ABILITÀ",(IF(Roster!$K$25="Español","HABILIDADES",(IF(Roster!$K$25="Deutsch","FERTIGKEITEN",(IF(Roster!$K$25="Français","COMPÉTENCES","SKILLS")))))))</f>
        <v>SKILLS</v>
      </c>
      <c r="I28" s="466"/>
      <c r="J28" s="466"/>
      <c r="K28" s="466"/>
      <c r="L28" s="466"/>
      <c r="M28" s="466"/>
      <c r="N28" s="466"/>
      <c r="O28" s="466"/>
      <c r="P28" s="466"/>
      <c r="Q28" s="466"/>
      <c r="R28" s="467"/>
      <c r="S28" s="279" t="str">
        <f>IF(Roster!$K$25="Italiano","COSTO",(IF(Roster!$K$25="Español","PRECIO",(IF(Roster!$K$25="Deutsch","WERT",(IF(Roster!$K$25="Français","VALEUR","COST")))))))</f>
        <v>COST</v>
      </c>
      <c r="T28" s="455"/>
      <c r="V28" s="229" t="s">
        <v>261</v>
      </c>
      <c r="W28" s="230" t="s">
        <v>206</v>
      </c>
      <c r="X28" s="231"/>
      <c r="Y28" s="229" t="s">
        <v>1266</v>
      </c>
      <c r="Z28" s="232"/>
      <c r="AA28" s="232"/>
      <c r="AB28" s="230"/>
      <c r="AC28" s="231"/>
      <c r="AD28" s="231"/>
      <c r="AE28" s="231"/>
      <c r="AF28" s="229" t="s">
        <v>1271</v>
      </c>
      <c r="AG28" s="232"/>
      <c r="AH28" s="232"/>
      <c r="AI28" s="230"/>
      <c r="AK28" s="457" t="s">
        <v>1311</v>
      </c>
      <c r="AL28" s="458"/>
      <c r="AM28" s="458"/>
      <c r="AN28" s="458"/>
      <c r="AO28" s="459"/>
      <c r="AP28" s="457" t="s">
        <v>1312</v>
      </c>
      <c r="AQ28" s="458"/>
      <c r="AR28" s="458"/>
      <c r="AS28" s="458"/>
      <c r="AT28" s="459"/>
    </row>
    <row r="29" spans="1:48" s="13" customFormat="1" ht="30" customHeight="1" x14ac:dyDescent="0.2">
      <c r="A29" s="253"/>
      <c r="B29" s="253" t="s">
        <v>1265</v>
      </c>
      <c r="C29" s="280" t="str">
        <f>IF((VLOOKUP(B29,Y31:AD36,2,FALSE))+J32+(IF(AE29="G",-2,0))+(IF(OR(AE29="O",AE29="N"),-1,0))=0,"",(VLOOKUP(B29,Y31:AD36,2,FALSE))+J32+(IF(AE29="G",-2,0))+(IF(OR(AE29="O",AE29="N"),-1,0)))</f>
        <v/>
      </c>
      <c r="D29" s="280" t="str">
        <f>IF((VLOOKUP(B29,Y31:AD36,3,FALSE))+L32+(IF(AE29="G",3,0))+(IF(OR(AE29="O",AE29="N"),2,0))=0,"",(VLOOKUP(B29,Y31:AD36,3,FALSE))+L32+(IF(AE29="G",3,0))+(IF(OR(AE29="O",AE29="N"),2,0)))</f>
        <v/>
      </c>
      <c r="E29" s="280" t="str">
        <f>IF((VLOOKUP(B29,Y31:AD36,4,FALSE)+N32+(IF(AE29="J",1,0)))=0,"",(VLOOKUP(B29,Y31:AD36,4,FALSE)+N32+(IF(AE29="J",1,0))&amp;"+"))</f>
        <v/>
      </c>
      <c r="F29" s="280" t="str">
        <f>IF((VLOOKUP(B29,Y31:AD36,5,FALSE)+P32)=0,"",(VLOOKUP(B29,Y31:AD36,5,FALSE)+P32&amp;"+"))</f>
        <v/>
      </c>
      <c r="G29" s="280" t="str">
        <f>IF((VLOOKUP(B29,Y31:AD36,6,FALSE)+R32)=0,"",(VLOOKUP(B29,Y31:AD36,6,FALSE)+R32&amp;"+"))</f>
        <v/>
      </c>
      <c r="H29" s="293" t="str">
        <f>Y29&amp;(IF(Z29&lt;&gt;"",", ",""))&amp;Z29&amp;(IF(AA29&lt;&gt;"",", ",""))&amp;AA29&amp;(IF(AB29&lt;&gt;"",", ",""))&amp;AB29&amp;(IF(AF29&lt;&gt;"",", ",""))&amp;AF29&amp;(IF(AG29&lt;&gt;"",", ",""))&amp;AG29&amp;(IF(AH29&lt;&gt;"",", ",""))&amp;AH29&amp;(IF(AI29&lt;&gt;"",", ",""))&amp;AI29&amp;AK34</f>
        <v/>
      </c>
      <c r="I29" s="294"/>
      <c r="J29" s="294"/>
      <c r="K29" s="294"/>
      <c r="L29" s="294"/>
      <c r="M29" s="294"/>
      <c r="N29" s="294"/>
      <c r="O29" s="294"/>
      <c r="P29" s="294"/>
      <c r="Q29" s="294"/>
      <c r="R29" s="295"/>
      <c r="S29" s="280">
        <f>(VLOOKUP(B29,Y31:AI36,11,FALSE))+W38</f>
        <v>0</v>
      </c>
      <c r="T29" s="455"/>
      <c r="V29" s="233"/>
      <c r="W29" s="234">
        <v>0</v>
      </c>
      <c r="X29" s="226"/>
      <c r="Y29" s="235" t="str">
        <f>VLOOKUP(B29,Y31:AH36,7,FALSE)</f>
        <v/>
      </c>
      <c r="Z29" s="236" t="str">
        <f>VLOOKUP(B29,Y31:AH36,8,FALSE)</f>
        <v/>
      </c>
      <c r="AA29" s="236" t="str">
        <f>VLOOKUP(B29,Y31:AH36,9,FALSE)</f>
        <v/>
      </c>
      <c r="AB29" s="237" t="str">
        <f>VLOOKUP(B29,Y31:AH36,10,FALSE)</f>
        <v/>
      </c>
      <c r="AC29" s="231"/>
      <c r="AD29" s="231"/>
      <c r="AE29" s="231" t="str">
        <f>IFERROR((VLOOKUP(A32,R41:W55,2,FALSE)),"")</f>
        <v/>
      </c>
      <c r="AF29" s="235" t="str">
        <f>IFERROR((VLOOKUP(A32,R41:W55,3,FALSE)),"")</f>
        <v/>
      </c>
      <c r="AG29" s="236" t="str">
        <f>IFERROR((VLOOKUP(A32,R41:W55,4,FALSE)),"")</f>
        <v/>
      </c>
      <c r="AH29" s="236" t="str">
        <f>IFERROR((VLOOKUP(A32,R41:W55,5,FALSE)),"")</f>
        <v/>
      </c>
      <c r="AI29" s="237" t="str">
        <f>IFERROR((VLOOKUP(A32,R41:W55,6,FALSE)),"")</f>
        <v/>
      </c>
      <c r="AK29" s="238">
        <v>0</v>
      </c>
      <c r="AL29" s="239">
        <v>0</v>
      </c>
      <c r="AM29" s="239">
        <v>0</v>
      </c>
      <c r="AN29" s="239">
        <v>0</v>
      </c>
      <c r="AO29" s="234">
        <v>0</v>
      </c>
      <c r="AP29" s="238">
        <v>0</v>
      </c>
      <c r="AQ29" s="239">
        <v>0</v>
      </c>
      <c r="AR29" s="239">
        <v>0</v>
      </c>
      <c r="AS29" s="239">
        <v>0</v>
      </c>
      <c r="AT29" s="234">
        <v>0</v>
      </c>
    </row>
    <row r="30" spans="1:48" s="13" customFormat="1" ht="22.5" customHeight="1" x14ac:dyDescent="0.2">
      <c r="A30" s="456" t="str">
        <f>IF(BC8="Italiano","AVANZAMIENTO GIOCATORI",(IF(BC8="Español","MEJORAS DEL JUGADORE",(IF(BC8="Deutsch","SPIELERVERBESSERUNGEN",(IF(BC8="Français","AMÉLIORATIONS DE JOUEUR","PLAYER UPGRADES")))))))</f>
        <v>PLAYER UPGRADES</v>
      </c>
      <c r="B30" s="456"/>
      <c r="C30" s="456"/>
      <c r="D30" s="456"/>
      <c r="E30" s="456"/>
      <c r="F30" s="456"/>
      <c r="G30" s="456"/>
      <c r="H30" s="456"/>
      <c r="I30" s="456"/>
      <c r="J30" s="456"/>
      <c r="K30" s="456"/>
      <c r="L30" s="456"/>
      <c r="M30" s="456"/>
      <c r="N30" s="456"/>
      <c r="O30" s="456"/>
      <c r="P30" s="456"/>
      <c r="Q30" s="456"/>
      <c r="R30" s="456"/>
      <c r="S30" s="456"/>
      <c r="T30" s="455"/>
      <c r="V30" s="233" t="str">
        <f t="shared" ref="V30:W36" si="3">IF($B$29="Stunty Superstar",C43,(IF($B$29="Legendary Linemen",F43,(IF($B$29="Brutal Blockers",I43,(IF($B$29="Reliable Ringers",L43,(IF($B$29="Bona Fide Big Guy",O43,"")))))))))</f>
        <v/>
      </c>
      <c r="W30" s="234" t="str">
        <f t="shared" si="3"/>
        <v/>
      </c>
      <c r="X30" s="231"/>
      <c r="Y30" s="231"/>
      <c r="Z30" s="231"/>
      <c r="AA30" s="231"/>
      <c r="AB30" s="231"/>
      <c r="AC30" s="231"/>
      <c r="AD30" s="231"/>
      <c r="AE30" s="231"/>
      <c r="AF30" s="231"/>
      <c r="AG30" s="231"/>
      <c r="AH30" s="231"/>
      <c r="AI30" s="231"/>
      <c r="AK30" s="238">
        <v>1</v>
      </c>
      <c r="AL30" s="239">
        <v>0</v>
      </c>
      <c r="AM30" s="239">
        <f>IF(B29="Legendary Linemen",0,-1)</f>
        <v>-1</v>
      </c>
      <c r="AN30" s="239">
        <f>IF(B29="Brutal Blockers",0,-1)</f>
        <v>-1</v>
      </c>
      <c r="AO30" s="234">
        <v>1</v>
      </c>
      <c r="AP30" s="238">
        <f>IF(OR(B29="Legendary Linemen",B29="Bona Fide Big Guy"),20000,30000)</f>
        <v>30000</v>
      </c>
      <c r="AQ30" s="239">
        <v>0</v>
      </c>
      <c r="AR30" s="239">
        <f>IF(OR(B29="Stunty Superstar",B29="Bona Fide Big Guy"),40000,(IF(B29="Legendary Linemen",0,50000)))</f>
        <v>50000</v>
      </c>
      <c r="AS30" s="239">
        <f>IF(B29="Brutal Blockers",0,30000)</f>
        <v>30000</v>
      </c>
      <c r="AT30" s="234">
        <f>IF(B29="Stunty Superstar",30000,(IF(B29="Reliable Ringers",40000,20000)))</f>
        <v>20000</v>
      </c>
    </row>
    <row r="31" spans="1:48" s="13" customFormat="1" ht="22.5" customHeight="1" x14ac:dyDescent="0.2">
      <c r="A31" s="465" t="s">
        <v>1263</v>
      </c>
      <c r="B31" s="466"/>
      <c r="C31" s="466"/>
      <c r="D31" s="466"/>
      <c r="E31" s="466"/>
      <c r="F31" s="466"/>
      <c r="G31" s="466"/>
      <c r="H31" s="467"/>
      <c r="I31" s="279" t="str">
        <f>IF(Roster!$K$25="Italiano","COSTO",(IF(Roster!$K$25="Español","PRECIO",(IF(Roster!$K$25="Deutsch","WERT",(IF(Roster!$K$25="Français","VALEUR","COST")))))))</f>
        <v>COST</v>
      </c>
      <c r="J31" s="279" t="str">
        <f>IF(Roster!$K$25="Español","MO",(IF(Roster!$K$25="Deutsch","BE",(IF(Roster!$K$25="Français","M","MA")))))</f>
        <v>MA</v>
      </c>
      <c r="K31" s="279" t="str">
        <f>IF(Roster!$K$25="Italiano","COSTO",(IF(Roster!$K$25="Español","PRECIO",(IF(Roster!$K$25="Deutsch","WERT",(IF(Roster!$K$25="Français","VALEUR","COST")))))))</f>
        <v>COST</v>
      </c>
      <c r="L31" s="279" t="str">
        <f>IF(Roster!$K$25="Español","FU",(IF(Roster!$K$25="Français","F","ST")))</f>
        <v>ST</v>
      </c>
      <c r="M31" s="279" t="str">
        <f>IF(Roster!$K$25="Italiano","COSTO",(IF(Roster!$K$25="Español","PRECIO",(IF(Roster!$K$25="Deutsch","WERT",(IF(Roster!$K$25="Français","VALEUR","COST")))))))</f>
        <v>COST</v>
      </c>
      <c r="N31" s="279" t="str">
        <f>IF(Roster!$K$25="Deutsch","GE","AG")</f>
        <v>AG</v>
      </c>
      <c r="O31" s="279" t="str">
        <f>IF(Roster!$K$25="Italiano","COSTO",(IF(Roster!$K$25="Español","PRECIO",(IF(Roster!$K$25="Deutsch","WERT",(IF(Roster!$K$25="Français","VALEUR","COST")))))))</f>
        <v>COST</v>
      </c>
      <c r="P31" s="279" t="str">
        <f>IF(Roster!$K$25="Deutsch","WG",(IF(Roster!$K$25="Français","CP","PA")))</f>
        <v>PA</v>
      </c>
      <c r="Q31" s="279" t="str">
        <f>IF(Roster!$K$25="Italiano","COSTO",(IF(Roster!$K$25="Español","PRECIO",(IF(Roster!$K$25="Deutsch","WERT",(IF(Roster!$K$25="Français","VALEUR","COST")))))))</f>
        <v>COST</v>
      </c>
      <c r="R31" s="279" t="str">
        <f>IF(Roster!$K$25="Español","AR",(IF(Roster!$K$25="Deutsch","RW",(IF(Roster!$K$25="Français","AR","AV")))))</f>
        <v>AV</v>
      </c>
      <c r="S31" s="279" t="str">
        <f>IF(Roster!$K$25="Italiano","COSTO",(IF(Roster!$K$25="Español","PRECIO",(IF(Roster!$K$25="Deutsch","WERT",(IF(Roster!$K$25="Français","VALEUR","COST")))))))</f>
        <v>COST</v>
      </c>
      <c r="T31" s="455"/>
      <c r="U31" s="225"/>
      <c r="V31" s="233" t="str">
        <f t="shared" si="3"/>
        <v/>
      </c>
      <c r="W31" s="234" t="str">
        <f t="shared" si="3"/>
        <v/>
      </c>
      <c r="X31" s="231"/>
      <c r="Y31" s="229" t="s">
        <v>1265</v>
      </c>
      <c r="Z31" s="240">
        <v>0</v>
      </c>
      <c r="AA31" s="240">
        <v>0</v>
      </c>
      <c r="AB31" s="240">
        <v>0</v>
      </c>
      <c r="AC31" s="240">
        <v>0</v>
      </c>
      <c r="AD31" s="240">
        <v>0</v>
      </c>
      <c r="AE31" s="232" t="str">
        <f>""</f>
        <v/>
      </c>
      <c r="AF31" s="232" t="str">
        <f>""</f>
        <v/>
      </c>
      <c r="AG31" s="232" t="str">
        <f>""</f>
        <v/>
      </c>
      <c r="AH31" s="232" t="str">
        <f>""</f>
        <v/>
      </c>
      <c r="AI31" s="260">
        <v>0</v>
      </c>
      <c r="AK31" s="238">
        <v>2</v>
      </c>
      <c r="AL31" s="239">
        <v>0</v>
      </c>
      <c r="AM31" s="239">
        <f>IF(B29="Legendary Linemen",0,-2)</f>
        <v>-2</v>
      </c>
      <c r="AN31" s="239">
        <f>IF(B29="Brutal Blockers",0,-2)</f>
        <v>-2</v>
      </c>
      <c r="AO31" s="234">
        <v>2</v>
      </c>
      <c r="AP31" s="238">
        <f>IF(OR(B29="Stunty Superstar",B29="Reliable Ringers"),48000,(IF(B29="Legendary Linemen",40000,50000)))</f>
        <v>50000</v>
      </c>
      <c r="AQ31" s="239">
        <v>0</v>
      </c>
      <c r="AR31" s="239">
        <f>IF(OR(B29="Stunty Superstar",B29="Bona Fide Big Guy"),80000,(IF(B29="Legendary Linemen",0,100000)))</f>
        <v>100000</v>
      </c>
      <c r="AS31" s="239">
        <f>IF(B29="Brutal Blockers",0,48000)</f>
        <v>48000</v>
      </c>
      <c r="AT31" s="234">
        <f>IF(B29="Stunty Superstar",48000,(IF(B29="Reliable Ringers",80000,40000)))</f>
        <v>40000</v>
      </c>
    </row>
    <row r="32" spans="1:48" s="13" customFormat="1" ht="22.5" customHeight="1" x14ac:dyDescent="0.2">
      <c r="A32" s="468"/>
      <c r="B32" s="469"/>
      <c r="C32" s="469"/>
      <c r="D32" s="469"/>
      <c r="E32" s="469"/>
      <c r="F32" s="469"/>
      <c r="G32" s="469"/>
      <c r="H32" s="470"/>
      <c r="I32" s="281">
        <f>IFERROR((VLOOKUP(A32,V30:W36,2,FALSE)),0)</f>
        <v>0</v>
      </c>
      <c r="J32" s="280">
        <v>0</v>
      </c>
      <c r="K32" s="281">
        <f>IFERROR((VLOOKUP(J32,AK29:AT33,6,FALSE)),"ILEGAL")</f>
        <v>0</v>
      </c>
      <c r="L32" s="280">
        <v>0</v>
      </c>
      <c r="M32" s="281">
        <f>IFERROR((VLOOKUP(L32,AL29:AT33,6,FALSE)),"ILEGAL")</f>
        <v>0</v>
      </c>
      <c r="N32" s="280">
        <v>0</v>
      </c>
      <c r="O32" s="281">
        <f>IFERROR((VLOOKUP(N32,AM29:AT33,6,FALSE)),"ILEGAL")</f>
        <v>0</v>
      </c>
      <c r="P32" s="280">
        <v>0</v>
      </c>
      <c r="Q32" s="281">
        <f>IFERROR((VLOOKUP(P32,AN29:AT33,6,FALSE)),"ILEGAL")</f>
        <v>0</v>
      </c>
      <c r="R32" s="280">
        <v>0</v>
      </c>
      <c r="S32" s="281">
        <f>IFERROR((VLOOKUP(R32,AO29:AT33,6,FALSE)),"ILEGAL")</f>
        <v>0</v>
      </c>
      <c r="T32" s="455"/>
      <c r="V32" s="233" t="str">
        <f t="shared" si="3"/>
        <v/>
      </c>
      <c r="W32" s="234" t="str">
        <f t="shared" si="3"/>
        <v/>
      </c>
      <c r="X32" s="231"/>
      <c r="Y32" s="233" t="s">
        <v>1267</v>
      </c>
      <c r="Z32" s="239">
        <v>5</v>
      </c>
      <c r="AA32" s="239">
        <v>2</v>
      </c>
      <c r="AB32" s="239">
        <v>3</v>
      </c>
      <c r="AC32" s="239">
        <v>4</v>
      </c>
      <c r="AD32" s="239">
        <v>6</v>
      </c>
      <c r="AE32" s="241" t="str">
        <f>IF(((COUNTIF(AE29,"A"))+(COUNTIF(AE29,"B"))+(COUNTIF(AE29,"H"))+(COUNTIF(AE29,"I"))+(COUNTIF(AE29,"M")))=1,"Loner (5+)","Loner (4+)")</f>
        <v>Loner (4+)</v>
      </c>
      <c r="AF32" s="241" t="s">
        <v>272</v>
      </c>
      <c r="AG32" s="241" t="s">
        <v>1268</v>
      </c>
      <c r="AH32" s="241" t="s">
        <v>1269</v>
      </c>
      <c r="AI32" s="234">
        <v>30000</v>
      </c>
      <c r="AK32" s="238">
        <v>-1</v>
      </c>
      <c r="AL32" s="239">
        <v>-1</v>
      </c>
      <c r="AM32" s="239">
        <v>1</v>
      </c>
      <c r="AN32" s="239">
        <v>1</v>
      </c>
      <c r="AO32" s="234">
        <v>-1</v>
      </c>
      <c r="AP32" s="238">
        <v>-10000</v>
      </c>
      <c r="AQ32" s="239">
        <v>-10000</v>
      </c>
      <c r="AR32" s="239">
        <v>-10000</v>
      </c>
      <c r="AS32" s="239">
        <v>-10000</v>
      </c>
      <c r="AT32" s="234">
        <v>-10000</v>
      </c>
    </row>
    <row r="33" spans="1:46" s="13" customFormat="1" ht="22.5" customHeight="1" x14ac:dyDescent="0.2">
      <c r="A33" s="282" t="str">
        <f>IF(Roster!$K$25="Italiano","TIPO",(IF(Roster!$K$25="Español","TIPO",(IF(Roster!$K$25="Deutsch","POSITION",(IF(Roster!$K$25="Français","POSTE","TYPE")))))))</f>
        <v>TYPE</v>
      </c>
      <c r="B33" s="283" t="str">
        <f>IF($J$40="Italiano","AVANZAMENTO 1",(IF($J$40="Español","MEJORA 1",(IF($J$40="Deutsch","VERBES-SERUNG 1",(IF($J$40="Français","AMÉLIORATION 1","UPGRADE 1")))))))</f>
        <v>UPGRADE 1</v>
      </c>
      <c r="C33" s="284" t="str">
        <f>IF(Roster!$K$25="Italiano","COSTO",(IF(Roster!$K$25="Español","PRECIO",(IF(Roster!$K$25="Deutsch","WERT",(IF(Roster!$K$25="Français","VALEUR","COST")))))))</f>
        <v>COST</v>
      </c>
      <c r="D33" s="463" t="str">
        <f>IF($J$40="Italiano","AVANZAMENTO 2",(IF($J$40="Español","MEJORA 2",(IF($J$40="Deutsch","VERBES-SERUNG 2",(IF($J$40="Français","AMÉLIORATION 2","UPGRADE 2")))))))</f>
        <v>UPGRADE 2</v>
      </c>
      <c r="E33" s="464"/>
      <c r="F33" s="284" t="str">
        <f>IF(Roster!$K$25="Italiano","COSTO",(IF(Roster!$K$25="Español","PRECIO",(IF(Roster!$K$25="Deutsch","WERT",(IF(Roster!$K$25="Français","VALEUR","COST")))))))</f>
        <v>COST</v>
      </c>
      <c r="G33" s="463" t="str">
        <f>IF($J$40="Italiano","AVANZAMENTO 3",(IF($J$40="Español","MEJORA 3",(IF($J$40="Deutsch","VERBES-SERUNG 3",(IF($J$40="Français","AMÉLIORATION 3","UPGRADE 3")))))))</f>
        <v>UPGRADE 3</v>
      </c>
      <c r="H33" s="464"/>
      <c r="I33" s="279" t="str">
        <f>IF(Roster!$K$25="Italiano","COSTO",(IF(Roster!$K$25="Español","PRECIO",(IF(Roster!$K$25="Deutsch","WERT",(IF(Roster!$K$25="Français","VALEUR","COST")))))))</f>
        <v>COST</v>
      </c>
      <c r="J33" s="463" t="str">
        <f>IF($J$40="Italiano","AVANZAMENTO 4",(IF($J$40="Español","MEJORA 4",(IF($J$40="Deutsch","VERBES-SERUNG 4",(IF($J$40="Français","AMÉLIORATION 4","UPGRADE 4")))))))</f>
        <v>UPGRADE 4</v>
      </c>
      <c r="K33" s="464"/>
      <c r="L33" s="279" t="str">
        <f>IF(Roster!$K$25="Italiano","COSTO",(IF(Roster!$K$25="Español","PRECIO",(IF(Roster!$K$25="Deutsch","WERT",(IF(Roster!$K$25="Français","VALEUR","COST")))))))</f>
        <v>COST</v>
      </c>
      <c r="M33" s="463" t="str">
        <f>IF($J$40="Italiano","AVANZAMENTO 5",(IF($J$40="Español","MEJORA 5",(IF($J$40="Deutsch","VERBES-SERUNG 5",(IF($J$40="Français","AMÉLIORATION 5","UPGRADE 5")))))))</f>
        <v>UPGRADE 5</v>
      </c>
      <c r="N33" s="464"/>
      <c r="O33" s="279" t="str">
        <f>IF(Roster!$K$25="Italiano","COSTO",(IF(Roster!$K$25="Español","PRECIO",(IF(Roster!$K$25="Deutsch","WERT",(IF(Roster!$K$25="Français","VALEUR","COST")))))))</f>
        <v>COST</v>
      </c>
      <c r="P33" s="463" t="str">
        <f>IF($J$40="Italiano","AVANZAMENTO 6",(IF($J$40="Español","MEJORA 6",(IF($J$40="Deutsch","VERBES-SERUNG 6",(IF($J$40="Français","AMÉLIORATION 6","UPGRADE 6")))))))</f>
        <v>UPGRADE 6</v>
      </c>
      <c r="Q33" s="464"/>
      <c r="R33" s="279" t="str">
        <f>IF(Roster!$K$25="Italiano","COSTO",(IF(Roster!$K$25="Español","PRECIO",(IF(Roster!$K$25="Deutsch","WERT",(IF(Roster!$K$25="Français","VALEUR","COST")))))))</f>
        <v>COST</v>
      </c>
      <c r="S33" s="279" t="s">
        <v>1264</v>
      </c>
      <c r="T33" s="455"/>
      <c r="V33" s="233" t="str">
        <f t="shared" si="3"/>
        <v/>
      </c>
      <c r="W33" s="234" t="str">
        <f t="shared" si="3"/>
        <v/>
      </c>
      <c r="X33" s="231"/>
      <c r="Y33" s="233" t="s">
        <v>1270</v>
      </c>
      <c r="Z33" s="239">
        <v>6</v>
      </c>
      <c r="AA33" s="239">
        <v>3</v>
      </c>
      <c r="AB33" s="239">
        <v>3</v>
      </c>
      <c r="AC33" s="239">
        <v>4</v>
      </c>
      <c r="AD33" s="239">
        <v>9</v>
      </c>
      <c r="AE33" s="241" t="str">
        <f>IF(((COUNTIF(AE29,"A"))+(COUNTIF(AE29,"B"))+(COUNTIF(AE29,"H"))+(COUNTIF(AE29,"I"))+(COUNTIF(AE29,"M")))=1,"Loner (5+)","Loner (4+)")</f>
        <v>Loner (4+)</v>
      </c>
      <c r="AF33" s="241" t="str">
        <f>""</f>
        <v/>
      </c>
      <c r="AG33" s="241" t="str">
        <f>""</f>
        <v/>
      </c>
      <c r="AH33" s="241" t="str">
        <f>""</f>
        <v/>
      </c>
      <c r="AI33" s="234">
        <v>50000</v>
      </c>
      <c r="AK33" s="242">
        <v>-2</v>
      </c>
      <c r="AL33" s="243">
        <f>IF(B29="Stunty Superstar",0,-2)</f>
        <v>-2</v>
      </c>
      <c r="AM33" s="243">
        <v>2</v>
      </c>
      <c r="AN33" s="243">
        <v>2</v>
      </c>
      <c r="AO33" s="244">
        <v>-2</v>
      </c>
      <c r="AP33" s="242">
        <v>-20000</v>
      </c>
      <c r="AQ33" s="243">
        <v>-20000</v>
      </c>
      <c r="AR33" s="243">
        <v>-20000</v>
      </c>
      <c r="AS33" s="243">
        <v>-20000</v>
      </c>
      <c r="AT33" s="244">
        <v>-20000</v>
      </c>
    </row>
    <row r="34" spans="1:46" s="13" customFormat="1" ht="22.5" customHeight="1" x14ac:dyDescent="0.2">
      <c r="A34" s="285" t="str">
        <f>IF($J$40="Italiano","GENERALE:",(IF($J$40="Français","GÉNÉRALE:","GENERAL:")))</f>
        <v>GENERAL:</v>
      </c>
      <c r="B34" s="253"/>
      <c r="C34" s="281">
        <f>IF(B34&lt;&gt;"",(IF(B29="Legendary Linemen",20000,(IF(B29="Reliable Ringers",30000,(IF(B29="Mercenaries",0,40000)))))),0)</f>
        <v>0</v>
      </c>
      <c r="D34" s="460"/>
      <c r="E34" s="461"/>
      <c r="F34" s="281" t="str">
        <f>IF(B29&lt;&gt;"Legendary Linemen","ILEGAL",(IF(D34&lt;&gt;"",50000,0)))</f>
        <v>ILEGAL</v>
      </c>
      <c r="G34" s="460"/>
      <c r="H34" s="461"/>
      <c r="I34" s="281" t="str">
        <f>IF(B29&lt;&gt;"Legendary Linemen","ILEGAL",(IF(G34&lt;&gt;"",80000,0)))</f>
        <v>ILEGAL</v>
      </c>
      <c r="J34" s="460"/>
      <c r="K34" s="461"/>
      <c r="L34" s="281" t="str">
        <f>IF(B29&lt;&gt;"Legendary Linemen","ILEGAL",(IF(J34&lt;&gt;"",110000,0)))</f>
        <v>ILEGAL</v>
      </c>
      <c r="M34" s="460"/>
      <c r="N34" s="461"/>
      <c r="O34" s="281" t="str">
        <f>IF(B29&lt;&gt;"Legendary Linemen","ILEGAL",(IF(M34&lt;&gt;"",140000,0)))</f>
        <v>ILEGAL</v>
      </c>
      <c r="P34" s="460"/>
      <c r="Q34" s="461"/>
      <c r="R34" s="281" t="str">
        <f>IF(B29&lt;&gt;"Legendary Linemen","ILEGAL",(IF(P34&lt;&gt;"",170000,0)))</f>
        <v>ILEGAL</v>
      </c>
      <c r="S34" s="281">
        <f>SUM(C34,F34,I34,L34,O34,R34)</f>
        <v>0</v>
      </c>
      <c r="T34" s="455"/>
      <c r="V34" s="233" t="str">
        <f t="shared" si="3"/>
        <v/>
      </c>
      <c r="W34" s="234" t="str">
        <f t="shared" si="3"/>
        <v/>
      </c>
      <c r="X34" s="231"/>
      <c r="Y34" s="233" t="s">
        <v>1272</v>
      </c>
      <c r="Z34" s="239">
        <v>4</v>
      </c>
      <c r="AA34" s="239">
        <v>4</v>
      </c>
      <c r="AB34" s="239">
        <v>4</v>
      </c>
      <c r="AC34" s="239">
        <v>6</v>
      </c>
      <c r="AD34" s="239">
        <v>9</v>
      </c>
      <c r="AE34" s="241" t="str">
        <f>IF(((COUNTIF(AE29,"A"))+(COUNTIF(AE29,"B"))+(COUNTIF(AE29,"H"))+(COUNTIF(AE29,"I"))+(COUNTIF(AE29,"M")))=1,"Loner (5+)","Loner (4+)")</f>
        <v>Loner (4+)</v>
      </c>
      <c r="AF34" s="241" t="str">
        <f>IF(OR(AE29="H",AE29="M"),"Mighty Blow (+2)","")</f>
        <v/>
      </c>
      <c r="AG34" s="241" t="str">
        <f>""</f>
        <v/>
      </c>
      <c r="AH34" s="241" t="str">
        <f>""</f>
        <v/>
      </c>
      <c r="AI34" s="234">
        <v>70000</v>
      </c>
      <c r="AK34" s="23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5" t="str">
        <f>IF($J$40="Italiano","FORZA:",(IF($J$40="Español","FUERZA:",(IF($J$40="Français","FORCE:","STRENGTH:")))))</f>
        <v>STRENGTH:</v>
      </c>
      <c r="B35" s="253"/>
      <c r="C35" s="281">
        <f>IF(B35&lt;&gt;"",(IF(B29="Stunty Superstar","ILEGAL",(IF(B29="Reliable Ringers",50000,(IF(B29="Mercenaries",0,30000)))))),0)</f>
        <v>0</v>
      </c>
      <c r="D35" s="460"/>
      <c r="E35" s="461"/>
      <c r="F35" s="281" t="str">
        <f>IF($B$3&lt;&gt;"Brutal Blockers",(IF($B$3&lt;&gt;"Bona Fide Big Guy","ILEGAL",(IF(D35&lt;&gt;"",70000,0)))),(IF(D35&lt;&gt;"",70000,0)))</f>
        <v>ILEGAL</v>
      </c>
      <c r="G35" s="460"/>
      <c r="H35" s="461"/>
      <c r="I35" s="281" t="str">
        <f>IF($B$3&lt;&gt;"Brutal Blockers",(IF($B$3&lt;&gt;"Bona Fide Big Guy","ILEGAL",(IF(G35&lt;&gt;"",110000,0)))),(IF(G35&lt;&gt;"",110000,0)))</f>
        <v>ILEGAL</v>
      </c>
      <c r="J35" s="460"/>
      <c r="K35" s="461"/>
      <c r="L35" s="281" t="str">
        <f>IF($B$3&lt;&gt;"Brutal Blockers",(IF($B$3&lt;&gt;"Bona Fide Big Guy","ILEGAL",(IF(J35&lt;&gt;"",150000,0)))),(IF(J35&lt;&gt;"",150000,0)))</f>
        <v>ILEGAL</v>
      </c>
      <c r="M35" s="460"/>
      <c r="N35" s="461"/>
      <c r="O35" s="281" t="str">
        <f>IF($B$3&lt;&gt;"Brutal Blockers",(IF($B$3&lt;&gt;"Bona Fide Big Guy","ILEGAL",(IF(M35&lt;&gt;"",190000,0)))),(IF(M35&lt;&gt;"",190000,0)))</f>
        <v>ILEGAL</v>
      </c>
      <c r="P35" s="460"/>
      <c r="Q35" s="461"/>
      <c r="R35" s="281" t="str">
        <f>IF($B$3&lt;&gt;"Brutal Blockers",(IF($B$3&lt;&gt;"Bona Fide Big Guy","ILEGAL",(IF(P35&lt;&gt;"",230000,0)))),(IF(P35&lt;&gt;"",230000,0)))</f>
        <v>ILEGAL</v>
      </c>
      <c r="S35" s="281">
        <f t="shared" ref="S35:S38" si="4">SUM(C35,F35,I35,L35,O35,R35)</f>
        <v>0</v>
      </c>
      <c r="T35" s="455"/>
      <c r="V35" s="233" t="str">
        <f t="shared" si="3"/>
        <v/>
      </c>
      <c r="W35" s="234" t="str">
        <f t="shared" si="3"/>
        <v/>
      </c>
      <c r="X35" s="231"/>
      <c r="Y35" s="233" t="s">
        <v>1261</v>
      </c>
      <c r="Z35" s="239">
        <v>6</v>
      </c>
      <c r="AA35" s="239">
        <v>3</v>
      </c>
      <c r="AB35" s="239">
        <v>2</v>
      </c>
      <c r="AC35" s="239">
        <v>3</v>
      </c>
      <c r="AD35" s="239">
        <v>8</v>
      </c>
      <c r="AE35" s="241" t="str">
        <f>IF(((COUNTIF(AE29,"A"))+(COUNTIF(AE29,"B"))+(COUNTIF(AE29,"H"))+(COUNTIF(AE29,"I"))+(COUNTIF(AE29,"M")))=1,"Loner (5+)","Loner (4+)")</f>
        <v>Loner (4+)</v>
      </c>
      <c r="AF35" s="241" t="str">
        <f>""</f>
        <v/>
      </c>
      <c r="AG35" s="241" t="str">
        <f>""</f>
        <v/>
      </c>
      <c r="AH35" s="241" t="str">
        <f>""</f>
        <v/>
      </c>
      <c r="AI35" s="234">
        <v>70000</v>
      </c>
    </row>
    <row r="36" spans="1:46" s="13" customFormat="1" ht="22.5" customHeight="1" x14ac:dyDescent="0.2">
      <c r="A36" s="285" t="str">
        <f>IF($J$40="Italiano","AGILITÀ:",(IF($J$40="Español","AGILIDAD:",(IF($J$40="Deutsch","AGILITÄT:",(IF($J$40="Français","AGILITÉ:","AGILITY:")))))))</f>
        <v>AGILITY:</v>
      </c>
      <c r="B36" s="253"/>
      <c r="C36" s="281">
        <f>IF(B29="Bona Fide Big Guy","ILEGAL",IF(B36&lt;&gt;"",(IF(B29="Stunty Superstar",10000,(IF(B29="Brutal Blockers",40000,(IF(B29="Mercenaries",0,30000)))))),0))</f>
        <v>0</v>
      </c>
      <c r="D36" s="460"/>
      <c r="E36" s="461"/>
      <c r="F36" s="281" t="str">
        <f>IF($B$3&lt;&gt;"Stunty Superstar",(IF($B$3&lt;&gt;"Reliable Ringers","ILEGAL",(IF(D36&lt;&gt;"",70000,0)))),(IF(D36&lt;&gt;"",30000,0)))</f>
        <v>ILEGAL</v>
      </c>
      <c r="G36" s="460"/>
      <c r="H36" s="461"/>
      <c r="I36" s="281" t="str">
        <f>IF($B$3&lt;&gt;"Stunty Superstar",(IF($B$3&lt;&gt;"Reliable Ringers","ILEGAL",(IF(G36&lt;&gt;"",110000,0)))),(IF(G36&lt;&gt;"",50000,0)))</f>
        <v>ILEGAL</v>
      </c>
      <c r="J36" s="460"/>
      <c r="K36" s="461"/>
      <c r="L36" s="281" t="str">
        <f>IF($B$3&lt;&gt;"Stunty Superstar",(IF($B$3&lt;&gt;"Reliable Ringers","ILEGAL",(IF(J36&lt;&gt;"",150000,0)))),(IF(J36&lt;&gt;"",70000,0)))</f>
        <v>ILEGAL</v>
      </c>
      <c r="M36" s="460"/>
      <c r="N36" s="461"/>
      <c r="O36" s="281" t="str">
        <f>IF($B$3&lt;&gt;"Stunty Superstar",(IF($B$3&lt;&gt;"Reliable Ringers","ILEGAL",(IF(M36&lt;&gt;"",190000,0)))),(IF(M36&lt;&gt;"",90000,0)))</f>
        <v>ILEGAL</v>
      </c>
      <c r="P36" s="460"/>
      <c r="Q36" s="461"/>
      <c r="R36" s="281" t="str">
        <f>IF($B$3&lt;&gt;"Stunty Superstar",(IF($B$3&lt;&gt;"Reliable Ringers","ILEGAL",(IF(P36&lt;&gt;"",230000,0)))),(IF(P36&lt;&gt;"",110000,0)))</f>
        <v>ILEGAL</v>
      </c>
      <c r="S36" s="281">
        <f t="shared" si="4"/>
        <v>0</v>
      </c>
      <c r="T36" s="455"/>
      <c r="V36" s="235" t="str">
        <f t="shared" si="3"/>
        <v/>
      </c>
      <c r="W36" s="244" t="str">
        <f t="shared" si="3"/>
        <v/>
      </c>
      <c r="X36" s="231"/>
      <c r="Y36" s="235" t="s">
        <v>1273</v>
      </c>
      <c r="Z36" s="243">
        <v>4</v>
      </c>
      <c r="AA36" s="243">
        <v>5</v>
      </c>
      <c r="AB36" s="243">
        <v>4</v>
      </c>
      <c r="AC36" s="243">
        <v>5</v>
      </c>
      <c r="AD36" s="243">
        <v>9</v>
      </c>
      <c r="AE36" s="236" t="str">
        <f>IF(((COUNTIF(AE29,"A"))+(COUNTIF(AE29,"B"))+(COUNTIF(AE29,"H"))+(COUNTIF(AE29,"I"))+(COUNTIF(AE29,"M")))=1,"Loner (5+)","Loner (4+)")</f>
        <v>Loner (4+)</v>
      </c>
      <c r="AF36" s="236" t="str">
        <f>IF(OR(AE29="J",AE29="K",AE29="L",AE29="M",AE29="N"),"","Bone Head")</f>
        <v>Bone Head</v>
      </c>
      <c r="AG36" s="236" t="str">
        <f>IF(OR(AE29="H",AE29="M"),"Mighty Blow (+2)","Mighty Blow (+1)")</f>
        <v>Mighty Blow (+1)</v>
      </c>
      <c r="AH36" s="236" t="str">
        <f>IF(OR(AE29="K",AE29="L"),"","Throw Team Mate")</f>
        <v>Throw Team Mate</v>
      </c>
      <c r="AI36" s="244">
        <v>130000</v>
      </c>
    </row>
    <row r="37" spans="1:46" s="13" customFormat="1" ht="22.5" customHeight="1" x14ac:dyDescent="0.2">
      <c r="A37" s="285" t="str">
        <f>IF($J$40="Español","PASE:",(IF($J$40="Français","PASSER:","PASS:")))</f>
        <v>PASS:</v>
      </c>
      <c r="B37" s="253"/>
      <c r="C37" s="281">
        <f>IF(B37&lt;&gt;"",(IF(B29="Mercenaries",0,(IF(OR(B29="Reliable Ringers",B29="Bona Fide Big Guy"),30000,20000)))),0)</f>
        <v>0</v>
      </c>
      <c r="D37" s="460"/>
      <c r="E37" s="461"/>
      <c r="F37" s="281" t="s">
        <v>1262</v>
      </c>
      <c r="G37" s="460"/>
      <c r="H37" s="461"/>
      <c r="I37" s="281" t="s">
        <v>1262</v>
      </c>
      <c r="J37" s="460"/>
      <c r="K37" s="461"/>
      <c r="L37" s="281" t="s">
        <v>1262</v>
      </c>
      <c r="M37" s="460"/>
      <c r="N37" s="461"/>
      <c r="O37" s="281" t="s">
        <v>1262</v>
      </c>
      <c r="P37" s="460"/>
      <c r="Q37" s="461"/>
      <c r="R37" s="281" t="s">
        <v>1262</v>
      </c>
      <c r="S37" s="281">
        <f t="shared" si="4"/>
        <v>0</v>
      </c>
      <c r="T37" s="455"/>
      <c r="V37" s="231"/>
      <c r="W37" s="231"/>
      <c r="X37" s="231"/>
      <c r="Y37" s="231"/>
      <c r="Z37" s="231"/>
      <c r="AA37" s="231"/>
      <c r="AB37" s="231"/>
      <c r="AC37" s="231"/>
      <c r="AD37" s="231"/>
      <c r="AE37" s="231"/>
      <c r="AF37" s="231"/>
      <c r="AG37" s="231"/>
      <c r="AH37" s="231"/>
      <c r="AI37" s="231"/>
    </row>
    <row r="38" spans="1:46" s="13" customFormat="1" ht="22.5" customHeight="1" x14ac:dyDescent="0.2">
      <c r="A38" s="279" t="str">
        <f>IF($J$40="Italiano","MUTAZIONE:",(IF($J$40="Español","MUTACIÓN:","MUTATION:")))</f>
        <v>MUTATION:</v>
      </c>
      <c r="B38" s="253"/>
      <c r="C38" s="281">
        <f>IF(B3="Reliable Ringers","ILEGAL",IF(B38&lt;&gt;"",(IF(B29="Mercenaries",0,(IF(OR(B29="Brutal Blockers",B29="Bona Fide Big Guy"),40000,IF(B29="Stunty Superstar",30000,IF(B29="Legendary Linemen",30000,(IF(B38="Big Hand",30000,(IF(B38="Extra Arms",20000,(IF(B38="Two Heads",30000,(IF(B38="Very Long Legs",30000,0)))))))))))))),0))</f>
        <v>0</v>
      </c>
      <c r="D38" s="460"/>
      <c r="E38" s="461"/>
      <c r="F38" s="281" t="str">
        <f>IF(B3="Reliable Ringers","ILEGAL",IF(OR($B$3="Stunty Superstar",$B$3="Brutal Blockers",$B$3="Bona Fide Big Guy",$B$3="Mercenaries"),"ILEGAL",(IF(D38&lt;&gt;"",(IF($B$3="Legendary Linemen",70000,(IF(D38="Big Hand",30000,(IF(D38="Extra Arms",20000,(IF(D38="Two Heads",30000,(IF(D38="Very Long Legs",30000,"ILEGAL")))))))))),0))))</f>
        <v>ILEGAL</v>
      </c>
      <c r="G38" s="460"/>
      <c r="H38" s="461"/>
      <c r="I38" s="281" t="str">
        <f>IF(B3="Reliable Ringers","ILEGAL",IF(OR($B$3="Stunty Superstar",$B$3="Brutal Blockers",$B$3="Bona Fide Big Guy",$B$3="Mercenaries"),"ILEGAL",(IF(G38&lt;&gt;"",(IF($B$3="Legendary Linemen",110000,(IF(G38="Big Hand",30000,(IF(G38="Extra Arms",20000,(IF(G38="Two Heads",30000,(IF(G38="Very Long Legs",30000,0)))))))))),0))))</f>
        <v>ILEGAL</v>
      </c>
      <c r="J38" s="460"/>
      <c r="K38" s="461"/>
      <c r="L38" s="281" t="str">
        <f>IF(B3="Reliable Ringers","ILEGAL",IF(OR($B$3="Stunty Superstar",$B$3="Brutal Blockers",$B$3="Bona Fide Big Guy",$B$3="Mercenaries"),"ILEGAL",(IF(J38&lt;&gt;"",(IF($B$3="Legendary Linemen",150000,(IF(J38="Big Hand",30000,(IF(J38="Extra Arms",20000,(IF(J38="Two Heads",30000,(IF(J38="Very Long Legs",30000,0)))))))))),0))))</f>
        <v>ILEGAL</v>
      </c>
      <c r="M38" s="460"/>
      <c r="N38" s="461"/>
      <c r="O38" s="281" t="str">
        <f>IF(B29&lt;&gt;"Legendary Linemen","ILEGAL",(IF(M38&lt;&gt;"",190000,0)))</f>
        <v>ILEGAL</v>
      </c>
      <c r="P38" s="460"/>
      <c r="Q38" s="461"/>
      <c r="R38" s="281" t="str">
        <f>IF(B29&lt;&gt;"Legendary Linemen","ILEGAL",(IF(P38&lt;&gt;"",230000,0)))</f>
        <v>ILEGAL</v>
      </c>
      <c r="S38" s="281">
        <f t="shared" si="4"/>
        <v>0</v>
      </c>
      <c r="T38" s="455"/>
      <c r="V38" s="245" t="s">
        <v>1264</v>
      </c>
      <c r="W38" s="246">
        <f>SUM(Y38:AI38)</f>
        <v>0</v>
      </c>
      <c r="X38" s="246"/>
      <c r="Y38" s="246">
        <f>IF(K32="ILEGAL",0,K32)</f>
        <v>0</v>
      </c>
      <c r="Z38" s="246">
        <f>IF(M32="ILEGAL",0,M32)</f>
        <v>0</v>
      </c>
      <c r="AA38" s="246">
        <f>IF(O32="ILEGAL",0,O32)</f>
        <v>0</v>
      </c>
      <c r="AB38" s="246">
        <f>IF(Q32="ILEGAL",0,Q32)</f>
        <v>0</v>
      </c>
      <c r="AC38" s="246">
        <f>IF(S32="ILEGAL",0,S32)</f>
        <v>0</v>
      </c>
      <c r="AD38" s="246">
        <f>I32</f>
        <v>0</v>
      </c>
      <c r="AE38" s="246">
        <f>S34</f>
        <v>0</v>
      </c>
      <c r="AF38" s="246">
        <f>S35</f>
        <v>0</v>
      </c>
      <c r="AG38" s="246">
        <f>S36</f>
        <v>0</v>
      </c>
      <c r="AH38" s="246">
        <f>S37</f>
        <v>0</v>
      </c>
      <c r="AI38" s="247">
        <f>S38</f>
        <v>0</v>
      </c>
    </row>
    <row r="39" spans="1:46" ht="15" customHeight="1" x14ac:dyDescent="0.2">
      <c r="A39" s="455"/>
      <c r="B39" s="455"/>
      <c r="C39" s="455"/>
      <c r="D39" s="455"/>
      <c r="E39" s="455"/>
      <c r="F39" s="455"/>
      <c r="G39" s="455"/>
      <c r="H39" s="455"/>
      <c r="I39" s="455"/>
      <c r="J39" s="455"/>
      <c r="K39" s="455"/>
      <c r="L39" s="455"/>
      <c r="M39" s="455"/>
      <c r="N39" s="455"/>
      <c r="O39" s="455"/>
      <c r="P39" s="455"/>
      <c r="Q39" s="455"/>
      <c r="R39" s="455"/>
      <c r="S39" s="455"/>
      <c r="T39" s="455"/>
      <c r="W39"/>
      <c r="X39"/>
      <c r="Y39"/>
    </row>
    <row r="40" spans="1:46" ht="12.75" hidden="1" customHeight="1" x14ac:dyDescent="0.2">
      <c r="W40"/>
      <c r="X40"/>
      <c r="Y40"/>
    </row>
    <row r="41" spans="1:46" ht="12.75" hidden="1" customHeight="1" x14ac:dyDescent="0.2">
      <c r="C41" s="471" t="s">
        <v>1274</v>
      </c>
      <c r="D41" s="472"/>
      <c r="F41" s="471" t="s">
        <v>1275</v>
      </c>
      <c r="G41" s="472"/>
      <c r="I41" s="471" t="s">
        <v>1276</v>
      </c>
      <c r="J41" s="472"/>
      <c r="L41" s="471" t="s">
        <v>1277</v>
      </c>
      <c r="M41" s="472"/>
      <c r="N41" s="249"/>
      <c r="O41" s="471" t="s">
        <v>1278</v>
      </c>
      <c r="P41" s="472"/>
      <c r="R41" s="241" t="s">
        <v>1279</v>
      </c>
      <c r="S41" s="241" t="s">
        <v>197</v>
      </c>
      <c r="T41" s="241" t="s">
        <v>1280</v>
      </c>
      <c r="U41" s="241" t="s">
        <v>1281</v>
      </c>
      <c r="V41" s="241" t="str">
        <f>""</f>
        <v/>
      </c>
      <c r="W41" s="241" t="str">
        <f>""</f>
        <v/>
      </c>
      <c r="X41" s="241" t="str">
        <f>""</f>
        <v/>
      </c>
      <c r="Y41"/>
    </row>
    <row r="42" spans="1:46" ht="12.75" hidden="1" customHeight="1" x14ac:dyDescent="0.2">
      <c r="A42" s="216"/>
      <c r="B42" s="250"/>
      <c r="C42" s="233"/>
      <c r="D42" s="234">
        <v>0</v>
      </c>
      <c r="E42" s="239"/>
      <c r="F42" s="233"/>
      <c r="G42" s="234">
        <v>0</v>
      </c>
      <c r="H42" s="239"/>
      <c r="I42" s="233"/>
      <c r="J42" s="234">
        <v>0</v>
      </c>
      <c r="K42" s="239"/>
      <c r="L42" s="233"/>
      <c r="M42" s="234">
        <v>0</v>
      </c>
      <c r="N42" s="239"/>
      <c r="O42" s="233"/>
      <c r="P42" s="234">
        <v>0</v>
      </c>
      <c r="R42" s="241" t="s">
        <v>1282</v>
      </c>
      <c r="S42" s="241" t="s">
        <v>1283</v>
      </c>
      <c r="T42" s="241" t="s">
        <v>1284</v>
      </c>
      <c r="U42" s="241" t="s">
        <v>1281</v>
      </c>
      <c r="V42" s="241" t="str">
        <f>""</f>
        <v/>
      </c>
      <c r="W42" s="241" t="str">
        <f>""</f>
        <v/>
      </c>
      <c r="X42" s="241" t="str">
        <f>""</f>
        <v/>
      </c>
      <c r="Y42"/>
    </row>
    <row r="43" spans="1:46" ht="12.75" hidden="1" customHeight="1" x14ac:dyDescent="0.2">
      <c r="A43" s="216"/>
      <c r="B43" s="234"/>
      <c r="C43" s="233" t="str">
        <f>IF(Roster!BV2&lt;&gt;"SylvanianSpotlight",(IF(Roster!BV2&lt;&gt;"ElvenKingdomsLeague",(IF(Roster!BV2&lt;&gt;"Favouredof","Dirty Player (+1), Sneaky Git, Loner (5+)","")),"")),"")</f>
        <v>Dirty Player (+1), Sneaky Git, Loner (5+)</v>
      </c>
      <c r="D43" s="234">
        <v>50000</v>
      </c>
      <c r="E43" s="239"/>
      <c r="F43" s="233" t="s">
        <v>1279</v>
      </c>
      <c r="G43" s="234">
        <v>70000</v>
      </c>
      <c r="H43" s="239"/>
      <c r="I43" s="233" t="str">
        <f>IF(Roster!BV2&lt;&gt;"Favouredof",(IF(Roster!BV2&lt;&gt;"ElvenKingdomsLeague",(IF(Roster!BV2&lt;&gt;"SylvanianSpotlight",(IF(Roster!BV2&lt;&gt;"UnderworldChallenge","Dirty Player (+1), Sneaky Git, Loner (5+)","")),"")),"")),"")</f>
        <v>Dirty Player (+1), Sneaky Git, Loner (5+)</v>
      </c>
      <c r="J43" s="234">
        <v>70000</v>
      </c>
      <c r="K43" s="239"/>
      <c r="L43" s="23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4">
        <v>70000</v>
      </c>
      <c r="N43" s="239"/>
      <c r="O43" s="233" t="s">
        <v>1286</v>
      </c>
      <c r="P43" s="234">
        <v>-10000</v>
      </c>
      <c r="R43" s="241" t="s">
        <v>1287</v>
      </c>
      <c r="S43" s="241" t="s">
        <v>1288</v>
      </c>
      <c r="T43" s="241" t="s">
        <v>455</v>
      </c>
      <c r="U43" s="241" t="s">
        <v>1289</v>
      </c>
      <c r="V43" s="241" t="str">
        <f>""</f>
        <v/>
      </c>
      <c r="W43" s="241" t="str">
        <f>""</f>
        <v/>
      </c>
      <c r="X43" s="241" t="str">
        <f>""</f>
        <v/>
      </c>
      <c r="Y43"/>
    </row>
    <row r="44" spans="1:46" ht="12.75" hidden="1" customHeight="1" x14ac:dyDescent="0.2">
      <c r="A44" s="216"/>
      <c r="B44" s="234"/>
      <c r="C44" s="23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34">
        <v>80000</v>
      </c>
      <c r="E44" s="251"/>
      <c r="F44" s="233" t="str">
        <f>IF(Roster!BV2&lt;&gt;"LustrianSuperleague",(IF(Roster!BV2&lt;&gt;"ElvenKingdomsLeague","Dirty Player (+2), Sneaky Git, Loner (5+)","")),"")</f>
        <v>Dirty Player (+2), Sneaky Git, Loner (5+)</v>
      </c>
      <c r="G44" s="234">
        <v>90000</v>
      </c>
      <c r="H44" s="251"/>
      <c r="I44" s="23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34">
        <v>100000</v>
      </c>
      <c r="K44" s="251"/>
      <c r="L44" s="23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4">
        <v>20000</v>
      </c>
      <c r="N44" s="251"/>
      <c r="O44" s="233" t="str">
        <f>IF(Roster!BV2&lt;&gt;"LustrianSuperleague",(IF(Roster!BV2&lt;&gt;"ElvenKingdomsLeague",(IF(Roster!BV2&lt;&gt;"SylvanianSpotlight","Frenzy, Unchannelled Fury, Horns, -Throw Team Mate, -Bone Head","")),"")),"")</f>
        <v>Frenzy, Unchannelled Fury, Horns, -Throw Team Mate, -Bone Head</v>
      </c>
      <c r="P44" s="234">
        <v>20000</v>
      </c>
      <c r="R44" s="241" t="s">
        <v>1290</v>
      </c>
      <c r="S44" s="241" t="s">
        <v>1292</v>
      </c>
      <c r="T44" s="241" t="s">
        <v>1293</v>
      </c>
      <c r="U44" s="241" t="s">
        <v>1289</v>
      </c>
      <c r="V44" s="241" t="str">
        <f>""</f>
        <v/>
      </c>
      <c r="W44" s="241" t="str">
        <f>""</f>
        <v/>
      </c>
      <c r="X44" s="241" t="str">
        <f>""</f>
        <v/>
      </c>
      <c r="Y44"/>
    </row>
    <row r="45" spans="1:46" ht="12.75" hidden="1" customHeight="1" x14ac:dyDescent="0.2">
      <c r="A45" s="216"/>
      <c r="B45" s="234"/>
      <c r="C45" s="233" t="str">
        <f>IF(Roster!BV2&lt;&gt;"LustrianSuperleague",(IF(Roster!BV2&lt;&gt;"ElvenKingdomsLeague",(IF(Roster!BV2&lt;&gt;"Favouredof","Bombardier, Secret Weapon","")),"")),"")</f>
        <v>Bombardier, Secret Weapon</v>
      </c>
      <c r="D45" s="234">
        <v>40000</v>
      </c>
      <c r="E45" s="239"/>
      <c r="F45" s="233" t="str">
        <f>IF(Roster!BV2&lt;&gt;"LustrianSuperleague",(IF(Roster!BV2&lt;&gt;"ElvenKingdomsLeague","Bombardier, Secret Weapon","")),"")</f>
        <v>Bombardier, Secret Weapon</v>
      </c>
      <c r="G45" s="234">
        <v>40000</v>
      </c>
      <c r="H45" s="239"/>
      <c r="I45" s="233" t="str">
        <f>IF(Roster!BV2&lt;&gt;"ElvenKingdomsLeague",(IF(Roster!BV2&lt;&gt;"UnderworldChallenge","Mighty Blow (+2), Loner (5+)","")),"")</f>
        <v>Mighty Blow (+2), Loner (5+)</v>
      </c>
      <c r="J45" s="234">
        <v>70000</v>
      </c>
      <c r="K45" s="239"/>
      <c r="L45" s="233" t="str">
        <f>""</f>
        <v/>
      </c>
      <c r="M45" s="234">
        <v>0</v>
      </c>
      <c r="N45" s="239"/>
      <c r="O45" s="252"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4">
        <v>20000</v>
      </c>
      <c r="R45" s="241" t="s">
        <v>1296</v>
      </c>
      <c r="S45" s="241" t="s">
        <v>1297</v>
      </c>
      <c r="T45" s="241" t="s">
        <v>1298</v>
      </c>
      <c r="U45" s="241" t="s">
        <v>1299</v>
      </c>
      <c r="V45" s="241" t="s">
        <v>1289</v>
      </c>
      <c r="W45" s="241" t="str">
        <f>""</f>
        <v/>
      </c>
      <c r="X45" s="241" t="str">
        <f>""</f>
        <v/>
      </c>
      <c r="Y45"/>
    </row>
    <row r="46" spans="1:46" ht="12.75" hidden="1" customHeight="1" x14ac:dyDescent="0.2">
      <c r="A46" s="216"/>
      <c r="B46" s="234"/>
      <c r="C46" s="233" t="str">
        <f>IF(Roster!BV2&lt;&gt;"ElvenKingdomsLeague",(IF(Roster!BV2&lt;&gt;"Favouredof","Stab, Secret Weapon","")),"")</f>
        <v>Stab, Secret Weapon</v>
      </c>
      <c r="D46" s="234">
        <v>20000</v>
      </c>
      <c r="E46" s="239"/>
      <c r="F46" s="233" t="str">
        <f>IF(Roster!BV2&lt;&gt;"Favouredof","Stab, Secret Weapon","")</f>
        <v>Stab, Secret Weapon</v>
      </c>
      <c r="G46" s="234">
        <v>20000</v>
      </c>
      <c r="H46" s="239"/>
      <c r="I46" s="233" t="str">
        <f>IF(Roster!BV2&lt;&gt;"ElvenKingdomsLeague",(IF(Roster!BV2&lt;&gt;"Favouredof","Stab, Secret Weapon","")),"")</f>
        <v>Stab, Secret Weapon</v>
      </c>
      <c r="J46" s="234">
        <v>20000</v>
      </c>
      <c r="K46" s="239"/>
      <c r="L46" s="233" t="str">
        <f>""</f>
        <v/>
      </c>
      <c r="M46" s="234">
        <v>0</v>
      </c>
      <c r="N46" s="239"/>
      <c r="O46" s="233" t="s">
        <v>1300</v>
      </c>
      <c r="P46" s="234">
        <v>50000</v>
      </c>
      <c r="R46" s="241" t="s">
        <v>1301</v>
      </c>
      <c r="S46" s="241" t="s">
        <v>1302</v>
      </c>
      <c r="T46" s="241" t="s">
        <v>1301</v>
      </c>
      <c r="U46" s="241" t="str">
        <f>""</f>
        <v/>
      </c>
      <c r="V46" s="241" t="str">
        <f>""</f>
        <v/>
      </c>
      <c r="W46" s="241" t="str">
        <f>""</f>
        <v/>
      </c>
      <c r="X46" s="241" t="str">
        <f>""</f>
        <v/>
      </c>
      <c r="Y46"/>
    </row>
    <row r="47" spans="1:46" ht="12.75" hidden="1" customHeight="1" x14ac:dyDescent="0.2">
      <c r="A47" s="216"/>
      <c r="B47" s="234"/>
      <c r="C47" s="233" t="str">
        <f>IF(Roster!BV2&lt;&gt;"ElvenKingdomsLeague",(IF(Roster!BV2&lt;&gt;"Favouredof","Chainsaw, No Hands, Secret Weapon","")),"")</f>
        <v>Chainsaw, No Hands, Secret Weapon</v>
      </c>
      <c r="D47" s="234">
        <v>40000</v>
      </c>
      <c r="E47" s="13"/>
      <c r="F47" s="233" t="s">
        <v>1296</v>
      </c>
      <c r="G47" s="234">
        <v>70000</v>
      </c>
      <c r="H47" s="13"/>
      <c r="I47" s="233"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4">
        <v>90000</v>
      </c>
      <c r="K47" s="13"/>
      <c r="L47" s="233" t="str">
        <f>""</f>
        <v/>
      </c>
      <c r="M47" s="234">
        <v>0</v>
      </c>
      <c r="N47" s="13"/>
      <c r="O47" s="233" t="str">
        <f>IF(Roster!BV2&lt;&gt;"SylvanianSpotlight",(IF(Roster!BV2&lt;&gt;"ElvenKingdomsLeague","Ball &amp; Chain, No hands, Really Stupid, Secret Weapon, +2ST, -Bone Head, -1MA","")),"")</f>
        <v>Ball &amp; Chain, No hands, Really Stupid, Secret Weapon, +2ST, -Bone Head, -1MA</v>
      </c>
      <c r="P47" s="234">
        <v>80000</v>
      </c>
      <c r="R47" s="241" t="s">
        <v>1305</v>
      </c>
      <c r="S47" s="241" t="s">
        <v>196</v>
      </c>
      <c r="T47" s="241" t="s">
        <v>1306</v>
      </c>
      <c r="U47" s="241" t="s">
        <v>1289</v>
      </c>
      <c r="V47" s="241" t="s">
        <v>1299</v>
      </c>
      <c r="W47" s="241" t="str">
        <f>""</f>
        <v/>
      </c>
      <c r="X47" s="241" t="str">
        <f>"+3ST, -2MA"</f>
        <v>+3ST, -2MA</v>
      </c>
      <c r="Y47"/>
    </row>
    <row r="48" spans="1:46" ht="12.75" hidden="1" customHeight="1" x14ac:dyDescent="0.2">
      <c r="A48" s="216"/>
      <c r="B48" s="234"/>
      <c r="C48" s="233" t="str">
        <f>IF(Roster!BV2&lt;&gt;"OldWorldClassic",(IF(Roster!BV2&lt;&gt;"ElvenKingdomsLeague",(IF(Roster!BV2&lt;&gt;"Favouredof",(IF(Roster!BV2&lt;&gt;"OldWorldClassicWorldsEdgeSuperleague","Pogo Stick","")),"")),"")),"")</f>
        <v>Pogo Stick</v>
      </c>
      <c r="D48" s="234">
        <v>50000</v>
      </c>
      <c r="E48" s="50"/>
      <c r="F48" s="233" t="str">
        <f>""</f>
        <v/>
      </c>
      <c r="G48" s="234">
        <v>0</v>
      </c>
      <c r="H48" s="50"/>
      <c r="I48" s="23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234">
        <v>70000</v>
      </c>
      <c r="K48" s="50"/>
      <c r="L48" s="233" t="str">
        <f>""</f>
        <v/>
      </c>
      <c r="M48" s="234">
        <v>0</v>
      </c>
      <c r="N48" s="50"/>
      <c r="O48" s="233" t="str">
        <f>""</f>
        <v/>
      </c>
      <c r="P48" s="234">
        <v>0</v>
      </c>
      <c r="R48" s="241" t="s">
        <v>1303</v>
      </c>
      <c r="S48" s="241" t="s">
        <v>1307</v>
      </c>
      <c r="T48" s="241" t="s">
        <v>1306</v>
      </c>
      <c r="U48" s="241" t="s">
        <v>1289</v>
      </c>
      <c r="V48" s="241" t="s">
        <v>1299</v>
      </c>
      <c r="W48" s="241" t="str">
        <f>""</f>
        <v/>
      </c>
      <c r="X48" s="241" t="str">
        <f>"+2ST, -1MA"</f>
        <v>+2ST, -1MA</v>
      </c>
      <c r="Y48"/>
    </row>
    <row r="49" spans="1:25" ht="12.75" hidden="1" customHeight="1" x14ac:dyDescent="0.2">
      <c r="A49" s="216"/>
      <c r="B49" s="234"/>
      <c r="C49" s="23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44">
        <v>60000</v>
      </c>
      <c r="E49" s="50"/>
      <c r="F49" s="235" t="str">
        <f>""</f>
        <v/>
      </c>
      <c r="G49" s="244">
        <v>0</v>
      </c>
      <c r="H49" s="50"/>
      <c r="I49" s="235" t="str">
        <f>""</f>
        <v/>
      </c>
      <c r="J49" s="244">
        <v>0</v>
      </c>
      <c r="K49" s="50"/>
      <c r="L49" s="235" t="str">
        <f>""</f>
        <v/>
      </c>
      <c r="M49" s="244">
        <v>0</v>
      </c>
      <c r="N49" s="50"/>
      <c r="O49" s="235" t="str">
        <f>""</f>
        <v/>
      </c>
      <c r="P49" s="244">
        <v>0</v>
      </c>
      <c r="R49" s="241" t="s">
        <v>1294</v>
      </c>
      <c r="S49" s="241" t="s">
        <v>1308</v>
      </c>
      <c r="T49" s="241" t="str">
        <f>""</f>
        <v/>
      </c>
      <c r="U49" s="241" t="str">
        <f>""</f>
        <v/>
      </c>
      <c r="V49" s="241" t="str">
        <f>""</f>
        <v/>
      </c>
      <c r="W49" s="241" t="str">
        <f>""</f>
        <v/>
      </c>
      <c r="X49" s="241" t="str">
        <f>""</f>
        <v/>
      </c>
      <c r="Y49"/>
    </row>
    <row r="50" spans="1:25" ht="12.75" hidden="1" customHeight="1" x14ac:dyDescent="0.2">
      <c r="A50" s="216"/>
      <c r="D50" s="13"/>
      <c r="E50" s="13"/>
      <c r="F50" s="13"/>
      <c r="G50" s="13"/>
      <c r="H50" s="13"/>
      <c r="R50" s="241" t="s">
        <v>1285</v>
      </c>
      <c r="S50" s="241" t="s">
        <v>1309</v>
      </c>
      <c r="T50" s="241" t="s">
        <v>1310</v>
      </c>
      <c r="U50" s="241" t="str">
        <f>""</f>
        <v/>
      </c>
      <c r="V50" s="241" t="str">
        <f>""</f>
        <v/>
      </c>
      <c r="W50" s="241" t="str">
        <f>""</f>
        <v/>
      </c>
      <c r="X50" s="241" t="str">
        <f>""</f>
        <v/>
      </c>
      <c r="Y50"/>
    </row>
    <row r="51" spans="1:25" ht="12.75" hidden="1" customHeight="1" x14ac:dyDescent="0.2">
      <c r="A51" s="216"/>
      <c r="Q51" s="13"/>
      <c r="R51" s="241" t="s">
        <v>1286</v>
      </c>
      <c r="S51" s="241" t="s">
        <v>1313</v>
      </c>
      <c r="T51" s="241" t="s">
        <v>1314</v>
      </c>
      <c r="U51" s="241" t="s">
        <v>1315</v>
      </c>
      <c r="V51" s="241" t="s">
        <v>1316</v>
      </c>
      <c r="W51" s="241" t="s">
        <v>579</v>
      </c>
      <c r="X51" s="241" t="str">
        <f>" -Bone Head, +1AG"</f>
        <v xml:space="preserve"> -Bone Head, +1AG</v>
      </c>
      <c r="Y51"/>
    </row>
    <row r="52" spans="1:25" ht="12.75" hidden="1" customHeight="1" x14ac:dyDescent="0.2">
      <c r="A52" s="216"/>
      <c r="Q52" s="13"/>
      <c r="R52" s="241" t="s">
        <v>1291</v>
      </c>
      <c r="S52" s="241" t="s">
        <v>1317</v>
      </c>
      <c r="T52" s="241" t="s">
        <v>388</v>
      </c>
      <c r="U52" s="241" t="s">
        <v>1318</v>
      </c>
      <c r="V52" s="241" t="s">
        <v>315</v>
      </c>
      <c r="W52" s="241" t="str">
        <f>""</f>
        <v/>
      </c>
      <c r="X52" s="241" t="str">
        <f>"-Throw Team Mate, -Bone Head"</f>
        <v>-Throw Team Mate, -Bone Head</v>
      </c>
      <c r="Y52"/>
    </row>
    <row r="53" spans="1:25" ht="12.75" hidden="1" customHeight="1" x14ac:dyDescent="0.2">
      <c r="A53" s="216"/>
      <c r="Q53" s="13"/>
      <c r="R53" s="241" t="s">
        <v>1295</v>
      </c>
      <c r="S53" s="241" t="s">
        <v>1319</v>
      </c>
      <c r="T53" s="241" t="s">
        <v>388</v>
      </c>
      <c r="U53" s="241" t="s">
        <v>1320</v>
      </c>
      <c r="V53" s="241" t="s">
        <v>1321</v>
      </c>
      <c r="W53" s="241" t="s">
        <v>1322</v>
      </c>
      <c r="X53" s="241" t="str">
        <f>"-Throw Team Mate, -Bone Head"</f>
        <v>-Throw Team Mate, -Bone Head</v>
      </c>
      <c r="Y53"/>
    </row>
    <row r="54" spans="1:25" ht="12.75" hidden="1" customHeight="1" x14ac:dyDescent="0.2">
      <c r="A54" s="216"/>
      <c r="Q54" s="13"/>
      <c r="R54" s="241" t="s">
        <v>1300</v>
      </c>
      <c r="S54" s="241" t="s">
        <v>200</v>
      </c>
      <c r="T54" s="241" t="str">
        <f>""</f>
        <v/>
      </c>
      <c r="U54" s="241" t="str">
        <f>""</f>
        <v/>
      </c>
      <c r="V54" s="241" t="str">
        <f>""</f>
        <v/>
      </c>
      <c r="W54" s="241" t="str">
        <f>""</f>
        <v/>
      </c>
      <c r="X54" s="241" t="str">
        <f>"-Bone Head"</f>
        <v>-Bone Head</v>
      </c>
      <c r="Y54"/>
    </row>
    <row r="55" spans="1:25" ht="12.75" hidden="1" customHeight="1" x14ac:dyDescent="0.2">
      <c r="A55" s="216"/>
      <c r="R55" s="241" t="s">
        <v>1304</v>
      </c>
      <c r="S55" s="241" t="s">
        <v>1323</v>
      </c>
      <c r="T55" s="241" t="s">
        <v>1306</v>
      </c>
      <c r="U55" s="241" t="s">
        <v>1324</v>
      </c>
      <c r="V55" s="241" t="s">
        <v>1316</v>
      </c>
      <c r="W55" s="241" t="s">
        <v>1289</v>
      </c>
      <c r="X55" s="241" t="str">
        <f>"+2ST, -Bone Head, -1MA"</f>
        <v>+2ST, -Bone Head, -1MA</v>
      </c>
      <c r="Y55"/>
    </row>
    <row r="56" spans="1:25" ht="12.75" hidden="1" customHeight="1" x14ac:dyDescent="0.2">
      <c r="A56" s="216"/>
      <c r="S56" s="14" t="str">
        <f>""</f>
        <v/>
      </c>
      <c r="T56" s="249"/>
      <c r="U56" s="241"/>
      <c r="W56"/>
      <c r="X56"/>
      <c r="Y56"/>
    </row>
    <row r="57" spans="1:25" ht="12.75" hidden="1" customHeight="1" x14ac:dyDescent="0.2">
      <c r="T57" s="249"/>
      <c r="U57" s="249"/>
      <c r="V57" s="14" t="str">
        <f>""</f>
        <v/>
      </c>
    </row>
    <row r="58" spans="1:25" ht="12.75" hidden="1" customHeight="1" x14ac:dyDescent="0.2">
      <c r="T58" s="249"/>
      <c r="U58" s="241"/>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93"/>
      <c r="C2" s="146"/>
      <c r="D2" s="146"/>
      <c r="E2" s="146"/>
      <c r="F2" s="146"/>
      <c r="G2" s="146"/>
      <c r="H2" s="146"/>
      <c r="I2" s="146"/>
      <c r="J2" s="146"/>
      <c r="K2" s="146"/>
      <c r="L2" s="146"/>
      <c r="M2" s="146"/>
      <c r="N2" s="146"/>
      <c r="O2" s="146"/>
      <c r="Q2" s="477" t="str">
        <f>IF(Roster!$A$2=0,"","#"&amp;Roster!$A$2)</f>
        <v>#1</v>
      </c>
      <c r="R2" s="146"/>
      <c r="S2" s="146"/>
      <c r="T2" s="146"/>
      <c r="U2" s="146"/>
      <c r="V2" s="146"/>
      <c r="W2" s="146"/>
      <c r="X2" s="146"/>
      <c r="Y2" s="146"/>
      <c r="Z2" s="146"/>
      <c r="AA2" s="146"/>
      <c r="AB2" s="146"/>
      <c r="AC2" s="146"/>
      <c r="AD2" s="146"/>
      <c r="AF2" s="477" t="str">
        <f>IF(Roster!$A$3=0,"","#"&amp;Roster!$A$3)</f>
        <v>#2</v>
      </c>
      <c r="AG2" s="146"/>
      <c r="AH2" s="146"/>
      <c r="AI2" s="146"/>
      <c r="AJ2" s="146"/>
      <c r="AK2" s="146"/>
      <c r="AL2" s="146"/>
      <c r="AM2" s="146"/>
      <c r="AN2" s="146"/>
      <c r="AO2" s="146"/>
      <c r="AP2" s="146"/>
      <c r="AQ2" s="146"/>
      <c r="AR2" s="146"/>
      <c r="AS2" s="146"/>
      <c r="AU2" s="477" t="str">
        <f>IF(Roster!$A$4=0,"","#"&amp;Roster!$A$4)</f>
        <v>#3</v>
      </c>
      <c r="AV2" s="146"/>
      <c r="AW2" s="146"/>
      <c r="AX2" s="146"/>
      <c r="AY2" s="146"/>
      <c r="AZ2" s="146"/>
      <c r="BA2" s="146"/>
      <c r="BB2" s="146"/>
      <c r="BC2" s="146"/>
      <c r="BD2" s="146"/>
      <c r="BE2" s="146"/>
      <c r="BF2" s="146"/>
      <c r="BG2" s="146"/>
      <c r="BH2" s="146"/>
    </row>
    <row r="3" spans="2:60" ht="15" customHeight="1" x14ac:dyDescent="0.25">
      <c r="B3" s="291"/>
      <c r="C3" s="480" t="str">
        <f>IF(Roster!$K$24=0,Roster!$D$24,Roster!$K$24)</f>
        <v>Paride</v>
      </c>
      <c r="D3" s="304"/>
      <c r="E3" s="304"/>
      <c r="F3" s="304"/>
      <c r="G3" s="304"/>
      <c r="H3" s="304"/>
      <c r="I3" s="304"/>
      <c r="J3" s="304"/>
      <c r="K3" s="304"/>
      <c r="L3" s="304"/>
      <c r="M3" s="304"/>
      <c r="N3" s="305"/>
      <c r="O3" s="146"/>
      <c r="Q3" s="291"/>
      <c r="R3" s="480" t="str">
        <f>IF(Roster!$B$2=0,"",Roster!$B$2)</f>
        <v>Guttur</v>
      </c>
      <c r="S3" s="304"/>
      <c r="T3" s="304"/>
      <c r="U3" s="304"/>
      <c r="V3" s="304"/>
      <c r="W3" s="304"/>
      <c r="X3" s="304"/>
      <c r="Y3" s="304"/>
      <c r="Z3" s="304"/>
      <c r="AA3" s="304"/>
      <c r="AB3" s="304"/>
      <c r="AC3" s="305"/>
      <c r="AD3" s="146"/>
      <c r="AF3" s="291"/>
      <c r="AG3" s="480" t="str">
        <f>IF(Roster!$B$3=0,"",Roster!$B$3)</f>
        <v>Asher</v>
      </c>
      <c r="AH3" s="304"/>
      <c r="AI3" s="304"/>
      <c r="AJ3" s="304"/>
      <c r="AK3" s="304"/>
      <c r="AL3" s="304"/>
      <c r="AM3" s="304"/>
      <c r="AN3" s="304"/>
      <c r="AO3" s="304"/>
      <c r="AP3" s="304"/>
      <c r="AQ3" s="304"/>
      <c r="AR3" s="305"/>
      <c r="AS3" s="146"/>
      <c r="AU3" s="291"/>
      <c r="AV3" s="480" t="str">
        <f>IF(Roster!$B$4=0,"",Roster!$B$4)</f>
        <v>Rancor</v>
      </c>
      <c r="AW3" s="304"/>
      <c r="AX3" s="304"/>
      <c r="AY3" s="304"/>
      <c r="AZ3" s="304"/>
      <c r="BA3" s="304"/>
      <c r="BB3" s="304"/>
      <c r="BC3" s="304"/>
      <c r="BD3" s="304"/>
      <c r="BE3" s="304"/>
      <c r="BF3" s="304"/>
      <c r="BG3" s="305"/>
      <c r="BH3" s="146"/>
    </row>
    <row r="4" spans="2:60" ht="11.25" customHeight="1" x14ac:dyDescent="0.2">
      <c r="B4" s="291"/>
      <c r="C4" s="481" t="str">
        <f>IF(Roster!$K$21="SPONSORS",Roster!$K$23,Roster!$K$23&amp;"; Sponsor: "&amp;Roster!$K$21)</f>
        <v>Chaos Dwarf GW</v>
      </c>
      <c r="D4" s="304"/>
      <c r="E4" s="304"/>
      <c r="F4" s="304"/>
      <c r="G4" s="304"/>
      <c r="H4" s="304"/>
      <c r="I4" s="304"/>
      <c r="J4" s="304"/>
      <c r="K4" s="304"/>
      <c r="L4" s="304"/>
      <c r="M4" s="304"/>
      <c r="N4" s="305"/>
      <c r="O4" s="147"/>
      <c r="Q4" s="451"/>
      <c r="R4" s="481" t="str">
        <f>IF(Roster!$D$2=0,"",Roster!$D$2)</f>
        <v>Bull Centaur Blitzer</v>
      </c>
      <c r="S4" s="304"/>
      <c r="T4" s="304"/>
      <c r="U4" s="304"/>
      <c r="V4" s="304"/>
      <c r="W4" s="304"/>
      <c r="X4" s="304"/>
      <c r="Y4" s="304"/>
      <c r="Z4" s="304"/>
      <c r="AA4" s="304"/>
      <c r="AB4" s="304"/>
      <c r="AC4" s="305"/>
      <c r="AD4" s="147"/>
      <c r="AF4" s="451"/>
      <c r="AG4" s="481" t="str">
        <f>IF(Roster!$D$3=0,"",Roster!$D$3)</f>
        <v>Bull Centaur Blitzer</v>
      </c>
      <c r="AH4" s="304"/>
      <c r="AI4" s="304"/>
      <c r="AJ4" s="304"/>
      <c r="AK4" s="304"/>
      <c r="AL4" s="304"/>
      <c r="AM4" s="304"/>
      <c r="AN4" s="304"/>
      <c r="AO4" s="304"/>
      <c r="AP4" s="304"/>
      <c r="AQ4" s="304"/>
      <c r="AR4" s="305"/>
      <c r="AS4" s="147"/>
      <c r="AU4" s="451"/>
      <c r="AV4" s="481" t="str">
        <f>IF(Roster!$D$4=0,"",Roster!$D$4)</f>
        <v>Chaos Dwarf Blocker</v>
      </c>
      <c r="AW4" s="304"/>
      <c r="AX4" s="304"/>
      <c r="AY4" s="304"/>
      <c r="AZ4" s="304"/>
      <c r="BA4" s="304"/>
      <c r="BB4" s="304"/>
      <c r="BC4" s="304"/>
      <c r="BD4" s="304"/>
      <c r="BE4" s="304"/>
      <c r="BF4" s="304"/>
      <c r="BG4" s="305"/>
      <c r="BH4" s="147"/>
    </row>
    <row r="5" spans="2:60" ht="11.25" customHeight="1" x14ac:dyDescent="0.2">
      <c r="B5" s="451"/>
      <c r="C5" s="148"/>
      <c r="D5" s="481" t="str">
        <f>IF(Roster!$D$32=0,"",Roster!$D$32)</f>
        <v>TEAM VALUE</v>
      </c>
      <c r="E5" s="304"/>
      <c r="F5" s="305"/>
      <c r="G5" s="149"/>
      <c r="H5" s="481" t="str">
        <f>IF(Roster!$D$26=0,"",Roster!$D$26)</f>
        <v>TEAM NAME</v>
      </c>
      <c r="I5" s="304"/>
      <c r="J5" s="305"/>
      <c r="K5" s="149"/>
      <c r="L5" s="481" t="str">
        <f>IF(Roster!$AE$21=0,"",Roster!$AE$21)</f>
        <v>TOTAL REROLLS</v>
      </c>
      <c r="M5" s="304"/>
      <c r="N5" s="305"/>
      <c r="O5" s="146"/>
      <c r="Q5" s="150" t="str">
        <f>IF(Roster!$K$1=0,"",Roster!$K$1)</f>
        <v>MA</v>
      </c>
      <c r="R5" s="149"/>
      <c r="S5" s="492"/>
      <c r="T5" s="492"/>
      <c r="U5" s="492"/>
      <c r="V5" s="492"/>
      <c r="W5" s="492"/>
      <c r="X5" s="492"/>
      <c r="Y5" s="492"/>
      <c r="Z5" s="492"/>
      <c r="AA5" s="492"/>
      <c r="AB5" s="492"/>
      <c r="AC5" s="492"/>
      <c r="AD5" s="146"/>
      <c r="AF5" s="150" t="str">
        <f>IF(Roster!$K$1=0,"",Roster!$K$1)</f>
        <v>MA</v>
      </c>
      <c r="AG5" s="149"/>
      <c r="AH5" s="492"/>
      <c r="AI5" s="492"/>
      <c r="AJ5" s="492"/>
      <c r="AK5" s="492"/>
      <c r="AL5" s="492"/>
      <c r="AM5" s="492"/>
      <c r="AN5" s="492"/>
      <c r="AO5" s="492"/>
      <c r="AP5" s="492"/>
      <c r="AQ5" s="492"/>
      <c r="AR5" s="492"/>
      <c r="AS5" s="146"/>
      <c r="AU5" s="150" t="str">
        <f>IF(Roster!$K$1=0,"",Roster!$K$1)</f>
        <v>MA</v>
      </c>
      <c r="AV5" s="149"/>
      <c r="AW5" s="492"/>
      <c r="AX5" s="492"/>
      <c r="AY5" s="492"/>
      <c r="AZ5" s="492"/>
      <c r="BA5" s="492"/>
      <c r="BB5" s="492"/>
      <c r="BC5" s="492"/>
      <c r="BD5" s="492"/>
      <c r="BE5" s="492"/>
      <c r="BF5" s="492"/>
      <c r="BG5" s="492"/>
      <c r="BH5" s="146"/>
    </row>
    <row r="6" spans="2:60" ht="37.5" customHeight="1" x14ac:dyDescent="0.2">
      <c r="B6" s="494" t="str">
        <f>IF(Roster!$K$22=0,"",Roster!$K$22)</f>
        <v>STADIUM</v>
      </c>
      <c r="C6" s="151"/>
      <c r="D6" s="478">
        <f>Roster!$K$32</f>
        <v>1200</v>
      </c>
      <c r="E6" s="304"/>
      <c r="F6" s="305"/>
      <c r="G6" s="149"/>
      <c r="H6" s="478" t="str">
        <f>IF(Roster!$K$26=0,"",Roster!$K$26)</f>
        <v>Six Feet Unders</v>
      </c>
      <c r="I6" s="304"/>
      <c r="J6" s="305"/>
      <c r="K6" s="149"/>
      <c r="L6" s="478">
        <f>Roster!$AJ$22</f>
        <v>3</v>
      </c>
      <c r="M6" s="304"/>
      <c r="N6" s="305"/>
      <c r="O6" s="146"/>
      <c r="Q6" s="152">
        <f>IF(Roster!$K$2=0,"",Roster!$K$2)</f>
        <v>6</v>
      </c>
      <c r="R6" s="149"/>
      <c r="S6" s="492"/>
      <c r="T6" s="492"/>
      <c r="U6" s="492"/>
      <c r="V6" s="492"/>
      <c r="W6" s="492"/>
      <c r="X6" s="492"/>
      <c r="Y6" s="492"/>
      <c r="Z6" s="492"/>
      <c r="AA6" s="492"/>
      <c r="AB6" s="492"/>
      <c r="AC6" s="492"/>
      <c r="AD6" s="146"/>
      <c r="AF6" s="152">
        <f>IF(Roster!$K$3=0,"",Roster!$K$3)</f>
        <v>6</v>
      </c>
      <c r="AG6" s="149"/>
      <c r="AH6" s="492"/>
      <c r="AI6" s="492"/>
      <c r="AJ6" s="492"/>
      <c r="AK6" s="492"/>
      <c r="AL6" s="492"/>
      <c r="AM6" s="492"/>
      <c r="AN6" s="492"/>
      <c r="AO6" s="492"/>
      <c r="AP6" s="492"/>
      <c r="AQ6" s="492"/>
      <c r="AR6" s="492"/>
      <c r="AS6" s="146"/>
      <c r="AU6" s="152">
        <f>IF(Roster!$K$4=0,"",Roster!$K$4)</f>
        <v>4</v>
      </c>
      <c r="AV6" s="149"/>
      <c r="AW6" s="492"/>
      <c r="AX6" s="492"/>
      <c r="AY6" s="492"/>
      <c r="AZ6" s="492"/>
      <c r="BA6" s="492"/>
      <c r="BB6" s="492"/>
      <c r="BC6" s="492"/>
      <c r="BD6" s="492"/>
      <c r="BE6" s="492"/>
      <c r="BF6" s="492"/>
      <c r="BG6" s="492"/>
      <c r="BH6" s="146"/>
    </row>
    <row r="7" spans="2:60" ht="11.25" customHeight="1" x14ac:dyDescent="0.2">
      <c r="B7" s="291"/>
      <c r="C7" s="150"/>
      <c r="D7" s="481" t="str">
        <f>IF(Roster!$S$22=0,"",Roster!$S$22)</f>
        <v>APOTHECARY</v>
      </c>
      <c r="E7" s="304"/>
      <c r="F7" s="305"/>
      <c r="G7" s="149"/>
      <c r="H7" s="481" t="str">
        <f>IF(Roster!$S$23=0,"",Roster!$S$23)</f>
        <v>CHEERLEADERS</v>
      </c>
      <c r="I7" s="304"/>
      <c r="J7" s="305"/>
      <c r="K7" s="149"/>
      <c r="L7" s="481" t="str">
        <f>IF(Roster!$S$24=0,"",Roster!$S$24)</f>
        <v>ASSISTANT COACHES</v>
      </c>
      <c r="M7" s="304"/>
      <c r="N7" s="305"/>
      <c r="O7" s="146"/>
      <c r="Q7" s="150" t="str">
        <f>IF(Roster!$L$1=0,"",Roster!$L$1)</f>
        <v>ST</v>
      </c>
      <c r="R7" s="149"/>
      <c r="S7" s="492"/>
      <c r="T7" s="492"/>
      <c r="U7" s="492"/>
      <c r="V7" s="492"/>
      <c r="W7" s="492"/>
      <c r="X7" s="492"/>
      <c r="Y7" s="492"/>
      <c r="Z7" s="492"/>
      <c r="AA7" s="492"/>
      <c r="AB7" s="492"/>
      <c r="AC7" s="492"/>
      <c r="AD7" s="146"/>
      <c r="AF7" s="150" t="str">
        <f>IF(Roster!$L$1=0,"",Roster!$L$1)</f>
        <v>ST</v>
      </c>
      <c r="AG7" s="149"/>
      <c r="AH7" s="492"/>
      <c r="AI7" s="492"/>
      <c r="AJ7" s="492"/>
      <c r="AK7" s="492"/>
      <c r="AL7" s="492"/>
      <c r="AM7" s="492"/>
      <c r="AN7" s="492"/>
      <c r="AO7" s="492"/>
      <c r="AP7" s="492"/>
      <c r="AQ7" s="492"/>
      <c r="AR7" s="492"/>
      <c r="AS7" s="146"/>
      <c r="AU7" s="150" t="str">
        <f>IF(Roster!$L$1=0,"",Roster!$L$1)</f>
        <v>ST</v>
      </c>
      <c r="AV7" s="149"/>
      <c r="AW7" s="492"/>
      <c r="AX7" s="492"/>
      <c r="AY7" s="492"/>
      <c r="AZ7" s="492"/>
      <c r="BA7" s="492"/>
      <c r="BB7" s="492"/>
      <c r="BC7" s="492"/>
      <c r="BD7" s="492"/>
      <c r="BE7" s="492"/>
      <c r="BF7" s="492"/>
      <c r="BG7" s="492"/>
      <c r="BH7" s="146"/>
    </row>
    <row r="8" spans="2:60" ht="37.5" customHeight="1" x14ac:dyDescent="0.2">
      <c r="B8" s="291"/>
      <c r="C8" s="153"/>
      <c r="D8" s="478">
        <f>Roster!$X$22</f>
        <v>0</v>
      </c>
      <c r="E8" s="304"/>
      <c r="F8" s="305"/>
      <c r="G8" s="149"/>
      <c r="H8" s="478">
        <f>Roster!$X$23</f>
        <v>0</v>
      </c>
      <c r="I8" s="304"/>
      <c r="J8" s="305"/>
      <c r="K8" s="149"/>
      <c r="L8" s="478">
        <f>Roster!$X$24</f>
        <v>0</v>
      </c>
      <c r="M8" s="304"/>
      <c r="N8" s="305"/>
      <c r="O8" s="146"/>
      <c r="Q8" s="152">
        <f>IF(Roster!$L$2=0,"",Roster!$L$2)</f>
        <v>4</v>
      </c>
      <c r="R8" s="149"/>
      <c r="S8" s="492"/>
      <c r="T8" s="492"/>
      <c r="U8" s="492"/>
      <c r="V8" s="492"/>
      <c r="W8" s="492"/>
      <c r="X8" s="492"/>
      <c r="Y8" s="492"/>
      <c r="Z8" s="492"/>
      <c r="AA8" s="492"/>
      <c r="AB8" s="492"/>
      <c r="AC8" s="492"/>
      <c r="AD8" s="146"/>
      <c r="AF8" s="152">
        <f>IF(Roster!$L$3=0,"",Roster!$L$3)</f>
        <v>4</v>
      </c>
      <c r="AG8" s="149"/>
      <c r="AH8" s="492"/>
      <c r="AI8" s="492"/>
      <c r="AJ8" s="492"/>
      <c r="AK8" s="492"/>
      <c r="AL8" s="492"/>
      <c r="AM8" s="492"/>
      <c r="AN8" s="492"/>
      <c r="AO8" s="492"/>
      <c r="AP8" s="492"/>
      <c r="AQ8" s="492"/>
      <c r="AR8" s="492"/>
      <c r="AS8" s="146"/>
      <c r="AU8" s="152">
        <f>IF(Roster!$L$4=0,"",Roster!$L$4)</f>
        <v>3</v>
      </c>
      <c r="AV8" s="149"/>
      <c r="AW8" s="492"/>
      <c r="AX8" s="492"/>
      <c r="AY8" s="492"/>
      <c r="AZ8" s="492"/>
      <c r="BA8" s="492"/>
      <c r="BB8" s="492"/>
      <c r="BC8" s="492"/>
      <c r="BD8" s="492"/>
      <c r="BE8" s="492"/>
      <c r="BF8" s="492"/>
      <c r="BG8" s="492"/>
      <c r="BH8" s="146"/>
    </row>
    <row r="9" spans="2:60" ht="11.25" customHeight="1" x14ac:dyDescent="0.2">
      <c r="B9" s="291"/>
      <c r="C9" s="148"/>
      <c r="D9" s="481" t="str">
        <f>IF(Roster!$S$25=0,"",Roster!$S$25)</f>
        <v>BLOODWEISER KEGS</v>
      </c>
      <c r="E9" s="304"/>
      <c r="F9" s="305"/>
      <c r="G9" s="149"/>
      <c r="H9" s="481" t="str">
        <f>IF(Roster!$S$29=0,"",Roster!$S$29)</f>
        <v>BRIBES</v>
      </c>
      <c r="I9" s="304"/>
      <c r="J9" s="305"/>
      <c r="K9" s="149"/>
      <c r="L9" s="481" t="str">
        <f>IF(Roster!$S$30=0,"",Roster!$S$30)</f>
        <v>MASTER CHEF</v>
      </c>
      <c r="M9" s="304"/>
      <c r="N9" s="305"/>
      <c r="O9" s="146"/>
      <c r="Q9" s="150" t="str">
        <f>IF(Roster!$M$1=0,"",Roster!$M$1)</f>
        <v>AG</v>
      </c>
      <c r="R9" s="149"/>
      <c r="S9" s="492"/>
      <c r="T9" s="492"/>
      <c r="U9" s="492"/>
      <c r="V9" s="492"/>
      <c r="W9" s="492"/>
      <c r="X9" s="492"/>
      <c r="Y9" s="492"/>
      <c r="Z9" s="492"/>
      <c r="AA9" s="492"/>
      <c r="AB9" s="492"/>
      <c r="AC9" s="492"/>
      <c r="AD9" s="146"/>
      <c r="AF9" s="150" t="str">
        <f>IF(Roster!$M$1=0,"",Roster!$M$1)</f>
        <v>AG</v>
      </c>
      <c r="AG9" s="149"/>
      <c r="AH9" s="492"/>
      <c r="AI9" s="492"/>
      <c r="AJ9" s="492"/>
      <c r="AK9" s="492"/>
      <c r="AL9" s="492"/>
      <c r="AM9" s="492"/>
      <c r="AN9" s="492"/>
      <c r="AO9" s="492"/>
      <c r="AP9" s="492"/>
      <c r="AQ9" s="492"/>
      <c r="AR9" s="492"/>
      <c r="AS9" s="146"/>
      <c r="AU9" s="150" t="str">
        <f>IF(Roster!$M$1=0,"",Roster!$M$1)</f>
        <v>AG</v>
      </c>
      <c r="AV9" s="149"/>
      <c r="AW9" s="492"/>
      <c r="AX9" s="492"/>
      <c r="AY9" s="492"/>
      <c r="AZ9" s="492"/>
      <c r="BA9" s="492"/>
      <c r="BB9" s="492"/>
      <c r="BC9" s="492"/>
      <c r="BD9" s="492"/>
      <c r="BE9" s="492"/>
      <c r="BF9" s="492"/>
      <c r="BG9" s="492"/>
      <c r="BH9" s="146"/>
    </row>
    <row r="10" spans="2:60" ht="37.5" customHeight="1" x14ac:dyDescent="0.2">
      <c r="B10" s="291"/>
      <c r="C10" s="153"/>
      <c r="D10" s="478">
        <f>Roster!$X$25</f>
        <v>0</v>
      </c>
      <c r="E10" s="304"/>
      <c r="F10" s="305"/>
      <c r="G10" s="149"/>
      <c r="H10" s="478">
        <f>Roster!$X$29</f>
        <v>0</v>
      </c>
      <c r="I10" s="304"/>
      <c r="J10" s="305"/>
      <c r="K10" s="149"/>
      <c r="L10" s="478">
        <f>Roster!$X$30</f>
        <v>0</v>
      </c>
      <c r="M10" s="304"/>
      <c r="N10" s="305"/>
      <c r="O10" s="146"/>
      <c r="Q10" s="152" t="str">
        <f>IF(Roster!$M$2=0&amp;"+","",Roster!$M$2)</f>
        <v>4+</v>
      </c>
      <c r="R10" s="149"/>
      <c r="S10" s="492"/>
      <c r="T10" s="492"/>
      <c r="U10" s="492"/>
      <c r="V10" s="492"/>
      <c r="W10" s="492"/>
      <c r="X10" s="492"/>
      <c r="Y10" s="492"/>
      <c r="Z10" s="492"/>
      <c r="AA10" s="492"/>
      <c r="AB10" s="492"/>
      <c r="AC10" s="492"/>
      <c r="AD10" s="146"/>
      <c r="AF10" s="152" t="str">
        <f>IF(Roster!$M$3=0&amp;"+","",Roster!$M$3)</f>
        <v>4+</v>
      </c>
      <c r="AG10" s="149"/>
      <c r="AH10" s="492"/>
      <c r="AI10" s="492"/>
      <c r="AJ10" s="492"/>
      <c r="AK10" s="492"/>
      <c r="AL10" s="492"/>
      <c r="AM10" s="492"/>
      <c r="AN10" s="492"/>
      <c r="AO10" s="492"/>
      <c r="AP10" s="492"/>
      <c r="AQ10" s="492"/>
      <c r="AR10" s="492"/>
      <c r="AS10" s="146"/>
      <c r="AU10" s="152" t="str">
        <f>IF(Roster!$M$4=0&amp;"+","",Roster!$M$4)</f>
        <v>4+</v>
      </c>
      <c r="AV10" s="149"/>
      <c r="AW10" s="492"/>
      <c r="AX10" s="492"/>
      <c r="AY10" s="492"/>
      <c r="AZ10" s="492"/>
      <c r="BA10" s="492"/>
      <c r="BB10" s="492"/>
      <c r="BC10" s="492"/>
      <c r="BD10" s="492"/>
      <c r="BE10" s="492"/>
      <c r="BF10" s="492"/>
      <c r="BG10" s="492"/>
      <c r="BH10" s="146"/>
    </row>
    <row r="11" spans="2:60" ht="11.25" customHeight="1" x14ac:dyDescent="0.2">
      <c r="B11" s="291"/>
      <c r="C11" s="150"/>
      <c r="D11" s="491" t="str">
        <f>IF(Roster!$S$31=0,"",Roster!$S$31)</f>
        <v>RIOTOUS ROOKIES</v>
      </c>
      <c r="E11" s="304"/>
      <c r="F11" s="305"/>
      <c r="G11" s="154"/>
      <c r="H11" s="491" t="str">
        <f>IF(Roster!$AE$25=0,"",Roster!$AE$25)</f>
        <v>WIZARDS</v>
      </c>
      <c r="I11" s="304"/>
      <c r="J11" s="305"/>
      <c r="K11" s="154"/>
      <c r="L11" s="481" t="str">
        <f>IF(Roster!$AE$24=0,"",Roster!$AE$24)</f>
        <v>WEATHER MAGE</v>
      </c>
      <c r="M11" s="304"/>
      <c r="N11" s="305"/>
      <c r="O11" s="155"/>
      <c r="Q11" s="150" t="str">
        <f>IF(Roster!$N$1=0,"",Roster!$N$1)</f>
        <v>PA</v>
      </c>
      <c r="R11" s="149"/>
      <c r="S11" s="492"/>
      <c r="T11" s="492"/>
      <c r="U11" s="492"/>
      <c r="V11" s="492"/>
      <c r="W11" s="492"/>
      <c r="X11" s="492"/>
      <c r="Y11" s="492"/>
      <c r="Z11" s="492"/>
      <c r="AA11" s="492"/>
      <c r="AB11" s="492"/>
      <c r="AC11" s="492"/>
      <c r="AD11" s="155"/>
      <c r="AF11" s="150" t="str">
        <f>IF(Roster!$N$1=0,"",Roster!$N$1)</f>
        <v>PA</v>
      </c>
      <c r="AG11" s="149"/>
      <c r="AH11" s="492"/>
      <c r="AI11" s="492"/>
      <c r="AJ11" s="492"/>
      <c r="AK11" s="492"/>
      <c r="AL11" s="492"/>
      <c r="AM11" s="492"/>
      <c r="AN11" s="492"/>
      <c r="AO11" s="492"/>
      <c r="AP11" s="492"/>
      <c r="AQ11" s="492"/>
      <c r="AR11" s="492"/>
      <c r="AS11" s="155"/>
      <c r="AU11" s="150" t="str">
        <f>IF(Roster!$N$1=0,"",Roster!$N$1)</f>
        <v>PA</v>
      </c>
      <c r="AV11" s="149"/>
      <c r="AW11" s="492"/>
      <c r="AX11" s="492"/>
      <c r="AY11" s="492"/>
      <c r="AZ11" s="492"/>
      <c r="BA11" s="492"/>
      <c r="BB11" s="492"/>
      <c r="BC11" s="492"/>
      <c r="BD11" s="492"/>
      <c r="BE11" s="492"/>
      <c r="BF11" s="492"/>
      <c r="BG11" s="492"/>
      <c r="BH11" s="155"/>
    </row>
    <row r="12" spans="2:60" ht="6" customHeight="1" x14ac:dyDescent="0.2">
      <c r="B12" s="291"/>
      <c r="C12" s="151"/>
      <c r="D12" s="495">
        <f>Roster!$X$31</f>
        <v>0</v>
      </c>
      <c r="E12" s="496"/>
      <c r="F12" s="497"/>
      <c r="G12" s="156"/>
      <c r="H12" s="495">
        <f>Roster!$AJ$25</f>
        <v>0</v>
      </c>
      <c r="I12" s="496"/>
      <c r="J12" s="497"/>
      <c r="K12" s="156"/>
      <c r="L12" s="495">
        <f>Roster!$AJ$24</f>
        <v>0</v>
      </c>
      <c r="M12" s="496"/>
      <c r="N12" s="497"/>
      <c r="O12" s="157"/>
      <c r="Q12" s="474" t="str">
        <f>IF(Roster!$N$2=0&amp;"+","",Roster!$N$2)</f>
        <v>6+</v>
      </c>
      <c r="R12" s="149"/>
      <c r="S12" s="492"/>
      <c r="T12" s="492"/>
      <c r="U12" s="492"/>
      <c r="V12" s="492"/>
      <c r="W12" s="492"/>
      <c r="X12" s="492"/>
      <c r="Y12" s="492"/>
      <c r="Z12" s="492"/>
      <c r="AA12" s="492"/>
      <c r="AB12" s="492"/>
      <c r="AC12" s="492"/>
      <c r="AD12" s="157"/>
      <c r="AF12" s="474" t="str">
        <f>IF(Roster!$N$3=0&amp;"+","",Roster!$N$3)</f>
        <v>6+</v>
      </c>
      <c r="AG12" s="149"/>
      <c r="AH12" s="492"/>
      <c r="AI12" s="492"/>
      <c r="AJ12" s="492"/>
      <c r="AK12" s="492"/>
      <c r="AL12" s="492"/>
      <c r="AM12" s="492"/>
      <c r="AN12" s="492"/>
      <c r="AO12" s="492"/>
      <c r="AP12" s="492"/>
      <c r="AQ12" s="492"/>
      <c r="AR12" s="492"/>
      <c r="AS12" s="157"/>
      <c r="AU12" s="474" t="str">
        <f>IF(Roster!$N$4=0&amp;"+","",Roster!$N$4)</f>
        <v>6+</v>
      </c>
      <c r="AV12" s="149"/>
      <c r="AW12" s="492"/>
      <c r="AX12" s="492"/>
      <c r="AY12" s="492"/>
      <c r="AZ12" s="492"/>
      <c r="BA12" s="492"/>
      <c r="BB12" s="492"/>
      <c r="BC12" s="492"/>
      <c r="BD12" s="492"/>
      <c r="BE12" s="492"/>
      <c r="BF12" s="492"/>
      <c r="BG12" s="492"/>
      <c r="BH12" s="157"/>
    </row>
    <row r="13" spans="2:60" ht="4.5" customHeight="1" x14ac:dyDescent="0.2">
      <c r="B13" s="291"/>
      <c r="C13" s="151"/>
      <c r="D13" s="498"/>
      <c r="E13" s="384"/>
      <c r="F13" s="499"/>
      <c r="G13" s="156"/>
      <c r="H13" s="498"/>
      <c r="I13" s="384"/>
      <c r="J13" s="499"/>
      <c r="K13" s="156"/>
      <c r="L13" s="498"/>
      <c r="M13" s="384"/>
      <c r="N13" s="499"/>
      <c r="O13" s="157"/>
      <c r="Q13" s="291"/>
      <c r="R13" s="149"/>
      <c r="S13" s="146"/>
      <c r="T13" s="156"/>
      <c r="U13" s="146"/>
      <c r="V13" s="156"/>
      <c r="W13" s="146"/>
      <c r="X13" s="156"/>
      <c r="Y13" s="146"/>
      <c r="Z13" s="156"/>
      <c r="AA13" s="146"/>
      <c r="AB13" s="156"/>
      <c r="AC13" s="146"/>
      <c r="AD13" s="157"/>
      <c r="AF13" s="291"/>
      <c r="AG13" s="149"/>
      <c r="AH13" s="146"/>
      <c r="AI13" s="156"/>
      <c r="AJ13" s="146"/>
      <c r="AK13" s="156"/>
      <c r="AL13" s="146"/>
      <c r="AM13" s="156"/>
      <c r="AN13" s="146"/>
      <c r="AO13" s="156"/>
      <c r="AP13" s="146"/>
      <c r="AQ13" s="156"/>
      <c r="AR13" s="146"/>
      <c r="AS13" s="157"/>
      <c r="AU13" s="291"/>
      <c r="AV13" s="149"/>
      <c r="AW13" s="146"/>
      <c r="AX13" s="156"/>
      <c r="AY13" s="146"/>
      <c r="AZ13" s="156"/>
      <c r="BA13" s="146"/>
      <c r="BB13" s="156"/>
      <c r="BC13" s="146"/>
      <c r="BD13" s="156"/>
      <c r="BE13" s="146"/>
      <c r="BF13" s="156"/>
      <c r="BG13" s="146"/>
      <c r="BH13" s="157"/>
    </row>
    <row r="14" spans="2:60" ht="11.25" customHeight="1" x14ac:dyDescent="0.2">
      <c r="B14" s="291"/>
      <c r="C14" s="151"/>
      <c r="D14" s="498"/>
      <c r="E14" s="384"/>
      <c r="F14" s="499"/>
      <c r="G14" s="156"/>
      <c r="H14" s="498"/>
      <c r="I14" s="384"/>
      <c r="J14" s="499"/>
      <c r="K14" s="156"/>
      <c r="L14" s="498"/>
      <c r="M14" s="384"/>
      <c r="N14" s="499"/>
      <c r="O14" s="157"/>
      <c r="Q14" s="291"/>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1"/>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1"/>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1"/>
      <c r="C15" s="151"/>
      <c r="D15" s="498"/>
      <c r="E15" s="384"/>
      <c r="F15" s="499"/>
      <c r="G15" s="151"/>
      <c r="H15" s="498"/>
      <c r="I15" s="384"/>
      <c r="J15" s="499"/>
      <c r="K15" s="151"/>
      <c r="L15" s="498"/>
      <c r="M15" s="384"/>
      <c r="N15" s="499"/>
      <c r="O15" s="157"/>
      <c r="Q15" s="291"/>
      <c r="R15" s="151"/>
      <c r="S15" s="159">
        <f>IF(Roster!$AD$2=0,"",Roster!$AD$2)</f>
        <v>3</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1"/>
      <c r="AG15" s="151"/>
      <c r="AH15" s="159">
        <f>IF(Roster!$AD$3=0,"",Roster!$AD$3)</f>
        <v>1</v>
      </c>
      <c r="AI15" s="151"/>
      <c r="AJ15" s="159">
        <f>IF((SUM(AL15,AN15,AP15))=0,"",(SUM(AL15,AN15,AP15)))</f>
        <v>2</v>
      </c>
      <c r="AK15" s="151"/>
      <c r="AL15" s="159">
        <f>IF(Roster!$AG$3=0,"",Roster!$AG$3)</f>
        <v>1</v>
      </c>
      <c r="AM15" s="151"/>
      <c r="AN15" s="159">
        <f>IF(Roster!$AH$3=0,"",Roster!$AH$3)</f>
        <v>1</v>
      </c>
      <c r="AO15" s="151"/>
      <c r="AP15" s="159" t="str">
        <f>IF(Roster!$AI$3=0,"",Roster!$AI$3)</f>
        <v/>
      </c>
      <c r="AQ15" s="151"/>
      <c r="AR15" s="159" t="str">
        <f>IF(Roster!$AC$3=0,"",Roster!$AC$3)</f>
        <v/>
      </c>
      <c r="AS15" s="157"/>
      <c r="AU15" s="291"/>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1"/>
      <c r="C16" s="151"/>
      <c r="D16" s="500"/>
      <c r="E16" s="501"/>
      <c r="F16" s="292"/>
      <c r="G16" s="151"/>
      <c r="H16" s="500"/>
      <c r="I16" s="501"/>
      <c r="J16" s="292"/>
      <c r="K16" s="151"/>
      <c r="L16" s="500"/>
      <c r="M16" s="501"/>
      <c r="N16" s="292"/>
      <c r="O16" s="157"/>
      <c r="Q16" s="451"/>
      <c r="R16" s="151"/>
      <c r="S16" s="160"/>
      <c r="T16" s="151"/>
      <c r="U16" s="160"/>
      <c r="V16" s="151"/>
      <c r="W16" s="160"/>
      <c r="X16" s="151"/>
      <c r="Y16" s="160"/>
      <c r="Z16" s="151"/>
      <c r="AA16" s="160"/>
      <c r="AB16" s="151"/>
      <c r="AC16" s="160"/>
      <c r="AD16" s="157"/>
      <c r="AF16" s="451"/>
      <c r="AG16" s="151"/>
      <c r="AH16" s="160"/>
      <c r="AI16" s="151"/>
      <c r="AJ16" s="160"/>
      <c r="AK16" s="151"/>
      <c r="AL16" s="160"/>
      <c r="AM16" s="151"/>
      <c r="AN16" s="160"/>
      <c r="AO16" s="151"/>
      <c r="AP16" s="160"/>
      <c r="AQ16" s="151"/>
      <c r="AR16" s="160"/>
      <c r="AS16" s="157"/>
      <c r="AU16" s="451"/>
      <c r="AV16" s="151"/>
      <c r="AW16" s="160"/>
      <c r="AX16" s="151"/>
      <c r="AY16" s="160"/>
      <c r="AZ16" s="151"/>
      <c r="BA16" s="160"/>
      <c r="BB16" s="151"/>
      <c r="BC16" s="160"/>
      <c r="BD16" s="151"/>
      <c r="BE16" s="160"/>
      <c r="BF16" s="151"/>
      <c r="BG16" s="160"/>
      <c r="BH16" s="157"/>
    </row>
    <row r="17" spans="2:60" ht="11.25" customHeight="1" x14ac:dyDescent="0.2">
      <c r="B17" s="291"/>
      <c r="C17" s="150"/>
      <c r="D17" s="481" t="str">
        <f>IF(Roster!$S$26=0,"",Roster!$S$26)</f>
        <v>SPECIAL CARD</v>
      </c>
      <c r="E17" s="304"/>
      <c r="F17" s="305"/>
      <c r="G17" s="150"/>
      <c r="H17" s="491" t="str">
        <f>IF(Roster!$AE$26=0,"",Roster!$AE$26)</f>
        <v>(IN)FAMOUS COACHES</v>
      </c>
      <c r="I17" s="304"/>
      <c r="J17" s="305"/>
      <c r="K17" s="150"/>
      <c r="L17" s="491" t="str">
        <f>IF(Roster!$AE$27=0,"",Roster!$AE$27)</f>
        <v>(IN)FAMOUS COACHES</v>
      </c>
      <c r="M17" s="304"/>
      <c r="N17" s="305"/>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1"/>
      <c r="C18" s="151"/>
      <c r="D18" s="495">
        <f>Roster!$X$26</f>
        <v>0</v>
      </c>
      <c r="E18" s="496"/>
      <c r="F18" s="497"/>
      <c r="G18" s="151"/>
      <c r="H18" s="495">
        <f>Roster!$AJ$26</f>
        <v>0</v>
      </c>
      <c r="I18" s="496"/>
      <c r="J18" s="497"/>
      <c r="K18" s="151"/>
      <c r="L18" s="495">
        <f>Roster!$AJ$27</f>
        <v>0</v>
      </c>
      <c r="M18" s="496"/>
      <c r="N18" s="497"/>
      <c r="O18" s="161"/>
      <c r="Q18" s="474" t="str">
        <f>IF(Roster!$O$2=0&amp;"+","",Roster!$O$2)</f>
        <v>10+</v>
      </c>
      <c r="R18" s="151"/>
      <c r="S18" s="159" t="str">
        <f>IF(Roster!$AE$2=0,"",Roster!$AE$2)</f>
        <v/>
      </c>
      <c r="T18" s="151"/>
      <c r="U18" s="159" t="str">
        <f>IF(Roster!$AF$2=0,"",Roster!$AF$2)</f>
        <v/>
      </c>
      <c r="V18" s="151"/>
      <c r="W18" s="159" t="str">
        <f>IF(Roster!$AB$2=0,"",Roster!$AB$2)</f>
        <v/>
      </c>
      <c r="X18" s="151"/>
      <c r="Y18" s="159">
        <f>IF(Roster!$AJ$2=0,"",Roster!$AJ$2)</f>
        <v>1</v>
      </c>
      <c r="Z18" s="151"/>
      <c r="AA18" s="159">
        <f>IF(Roster!$AK$2=0,"",Roster!$AK$2)</f>
        <v>13</v>
      </c>
      <c r="AB18" s="151"/>
      <c r="AC18" s="159" t="str">
        <f>IF(Roster!$AA$2=0,"",Roster!$AA$2)</f>
        <v/>
      </c>
      <c r="AD18" s="161"/>
      <c r="AF18" s="474"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f>IF(Roster!$AK$3=0,"",Roster!$AK$3)</f>
        <v>7</v>
      </c>
      <c r="AQ18" s="151"/>
      <c r="AR18" s="159" t="str">
        <f>IF(Roster!$AA$3=0,"",Roster!$AA$3)</f>
        <v/>
      </c>
      <c r="AS18" s="161"/>
      <c r="AU18" s="474" t="str">
        <f>IF(Roster!$O$4=0&amp;"+","",Roster!$O$4)</f>
        <v>10+</v>
      </c>
      <c r="AV18" s="151"/>
      <c r="AW18" s="159" t="str">
        <f>IF(Roster!$AE$4=0,"",Roster!$AE$4)</f>
        <v/>
      </c>
      <c r="AX18" s="151"/>
      <c r="AY18" s="159" t="str">
        <f>IF(Roster!$AF$4=0,"",Roster!$AF$4)</f>
        <v/>
      </c>
      <c r="AZ18" s="151"/>
      <c r="BA18" s="159" t="str">
        <f>IF(Roster!$AB$4=0,"",Roster!$AB$4)</f>
        <v/>
      </c>
      <c r="BB18" s="151"/>
      <c r="BC18" s="159">
        <f>IF(Roster!$AJ$4=0,"",Roster!$AJ$4)</f>
        <v>1</v>
      </c>
      <c r="BD18" s="151"/>
      <c r="BE18" s="159">
        <f>IF(Roster!$AK$4=0,"",Roster!$AK$4)</f>
        <v>4</v>
      </c>
      <c r="BF18" s="151"/>
      <c r="BG18" s="159" t="str">
        <f>IF(Roster!$AA$4=0,"",Roster!$AA$4)</f>
        <v/>
      </c>
      <c r="BH18" s="161"/>
    </row>
    <row r="19" spans="2:60" ht="4.5" customHeight="1" x14ac:dyDescent="0.2">
      <c r="B19" s="291"/>
      <c r="C19" s="151"/>
      <c r="D19" s="498"/>
      <c r="E19" s="384"/>
      <c r="F19" s="499"/>
      <c r="G19" s="151"/>
      <c r="H19" s="498"/>
      <c r="I19" s="384"/>
      <c r="J19" s="499"/>
      <c r="K19" s="151"/>
      <c r="L19" s="498"/>
      <c r="M19" s="384"/>
      <c r="N19" s="499"/>
      <c r="O19" s="161"/>
      <c r="Q19" s="291"/>
      <c r="R19" s="151"/>
      <c r="S19" s="151"/>
      <c r="T19" s="151"/>
      <c r="U19" s="151"/>
      <c r="V19" s="151"/>
      <c r="W19" s="151"/>
      <c r="X19" s="151"/>
      <c r="Y19" s="151"/>
      <c r="Z19" s="151"/>
      <c r="AA19" s="151"/>
      <c r="AB19" s="151"/>
      <c r="AC19" s="157"/>
      <c r="AD19" s="161"/>
      <c r="AF19" s="291"/>
      <c r="AG19" s="151"/>
      <c r="AH19" s="151"/>
      <c r="AI19" s="151"/>
      <c r="AJ19" s="151"/>
      <c r="AK19" s="151"/>
      <c r="AL19" s="151"/>
      <c r="AM19" s="151"/>
      <c r="AN19" s="151"/>
      <c r="AO19" s="151"/>
      <c r="AP19" s="151"/>
      <c r="AQ19" s="151"/>
      <c r="AR19" s="157"/>
      <c r="AS19" s="161"/>
      <c r="AU19" s="291"/>
      <c r="AV19" s="151"/>
      <c r="AW19" s="151"/>
      <c r="AX19" s="151"/>
      <c r="AY19" s="151"/>
      <c r="AZ19" s="151"/>
      <c r="BA19" s="151"/>
      <c r="BB19" s="151"/>
      <c r="BC19" s="151"/>
      <c r="BD19" s="151"/>
      <c r="BE19" s="151"/>
      <c r="BF19" s="151"/>
      <c r="BG19" s="157"/>
      <c r="BH19" s="161"/>
    </row>
    <row r="20" spans="2:60" ht="11.25" customHeight="1" x14ac:dyDescent="0.2">
      <c r="B20" s="291"/>
      <c r="C20" s="151"/>
      <c r="D20" s="498"/>
      <c r="E20" s="384"/>
      <c r="F20" s="499"/>
      <c r="G20" s="155"/>
      <c r="H20" s="498"/>
      <c r="I20" s="384"/>
      <c r="J20" s="499"/>
      <c r="K20" s="155"/>
      <c r="L20" s="498"/>
      <c r="M20" s="384"/>
      <c r="N20" s="499"/>
      <c r="O20" s="161"/>
      <c r="Q20" s="291"/>
      <c r="R20" s="151"/>
      <c r="S20" s="475" t="str">
        <f>IF(Roster!$K$25="Italiano","ABILITÀ &amp; TRATTI",(IF(Roster!$K$25="Español","HABILIDADES Y RASGOS","SKILLS &amp; TRAITS")))</f>
        <v>SKILLS &amp; TRAITS</v>
      </c>
      <c r="T20" s="304"/>
      <c r="U20" s="304"/>
      <c r="V20" s="304"/>
      <c r="W20" s="304"/>
      <c r="X20" s="304"/>
      <c r="Y20" s="304"/>
      <c r="Z20" s="304"/>
      <c r="AA20" s="304"/>
      <c r="AB20" s="304"/>
      <c r="AC20" s="305"/>
      <c r="AD20" s="161"/>
      <c r="AF20" s="291"/>
      <c r="AG20" s="151"/>
      <c r="AH20" s="475" t="str">
        <f>IF(Roster!$K$25="Italiano","ABILITÀ &amp; TRATTI",(IF(Roster!$K$25="Español","HABILIDADES Y RASGOS","SKILLS &amp; TRAITS")))</f>
        <v>SKILLS &amp; TRAITS</v>
      </c>
      <c r="AI20" s="304"/>
      <c r="AJ20" s="304"/>
      <c r="AK20" s="304"/>
      <c r="AL20" s="304"/>
      <c r="AM20" s="304"/>
      <c r="AN20" s="304"/>
      <c r="AO20" s="304"/>
      <c r="AP20" s="304"/>
      <c r="AQ20" s="304"/>
      <c r="AR20" s="305"/>
      <c r="AS20" s="161"/>
      <c r="AU20" s="291"/>
      <c r="AV20" s="151"/>
      <c r="AW20" s="475" t="str">
        <f>IF(Roster!$K$25="Italiano","ABILITÀ &amp; TRATTI",(IF(Roster!$K$25="Español","HABILIDADES Y RASGOS","SKILLS &amp; TRAITS")))</f>
        <v>SKILLS &amp; TRAITS</v>
      </c>
      <c r="AX20" s="304"/>
      <c r="AY20" s="304"/>
      <c r="AZ20" s="304"/>
      <c r="BA20" s="304"/>
      <c r="BB20" s="304"/>
      <c r="BC20" s="304"/>
      <c r="BD20" s="304"/>
      <c r="BE20" s="304"/>
      <c r="BF20" s="304"/>
      <c r="BG20" s="305"/>
      <c r="BH20" s="161"/>
    </row>
    <row r="21" spans="2:60" ht="6.75" customHeight="1" x14ac:dyDescent="0.2">
      <c r="B21" s="291"/>
      <c r="C21" s="151"/>
      <c r="D21" s="500"/>
      <c r="E21" s="501"/>
      <c r="F21" s="292"/>
      <c r="G21" s="162"/>
      <c r="H21" s="500"/>
      <c r="I21" s="501"/>
      <c r="J21" s="292"/>
      <c r="K21" s="162"/>
      <c r="L21" s="500"/>
      <c r="M21" s="501"/>
      <c r="N21" s="292"/>
      <c r="O21" s="161"/>
      <c r="Q21" s="451"/>
      <c r="R21" s="151"/>
      <c r="S21" s="482" t="str">
        <f>IF(Roster!$P$2=0&amp;BF2,"",Roster!$P$2)</f>
        <v>Sprint, Sure Feet, Thick Skull, Sure Hands</v>
      </c>
      <c r="T21" s="483"/>
      <c r="U21" s="483"/>
      <c r="V21" s="483"/>
      <c r="W21" s="483"/>
      <c r="X21" s="483"/>
      <c r="Y21" s="483"/>
      <c r="Z21" s="483"/>
      <c r="AA21" s="483"/>
      <c r="AB21" s="483"/>
      <c r="AC21" s="484"/>
      <c r="AD21" s="161"/>
      <c r="AF21" s="451"/>
      <c r="AG21" s="151"/>
      <c r="AH21" s="482" t="str">
        <f>IF(Roster!$P$3=0&amp;BF3,"",Roster!$P$3)</f>
        <v>Sprint, Sure Feet, Thick Skull, Block</v>
      </c>
      <c r="AI21" s="483"/>
      <c r="AJ21" s="483"/>
      <c r="AK21" s="483"/>
      <c r="AL21" s="483"/>
      <c r="AM21" s="483"/>
      <c r="AN21" s="483"/>
      <c r="AO21" s="483"/>
      <c r="AP21" s="483"/>
      <c r="AQ21" s="483"/>
      <c r="AR21" s="484"/>
      <c r="AS21" s="161"/>
      <c r="AU21" s="451"/>
      <c r="AV21" s="151"/>
      <c r="AW21" s="482" t="str">
        <f>IF(Roster!$P$4=0&amp;BF4,"",Roster!$P$4)</f>
        <v>Block, Iron Hard Skin, Thick Skull - 1 NI</v>
      </c>
      <c r="AX21" s="483"/>
      <c r="AY21" s="483"/>
      <c r="AZ21" s="483"/>
      <c r="BA21" s="483"/>
      <c r="BB21" s="483"/>
      <c r="BC21" s="483"/>
      <c r="BD21" s="483"/>
      <c r="BE21" s="483"/>
      <c r="BF21" s="483"/>
      <c r="BG21" s="484"/>
      <c r="BH21" s="161"/>
    </row>
    <row r="22" spans="2:60" ht="11.25" customHeight="1" x14ac:dyDescent="0.2">
      <c r="B22" s="291"/>
      <c r="C22" s="148"/>
      <c r="D22" s="491" t="str">
        <f>IF(Roster!$AE$28=0,"",Roster!$AE$28)</f>
        <v>BIASED REFEREE</v>
      </c>
      <c r="E22" s="304"/>
      <c r="F22" s="305"/>
      <c r="G22" s="162"/>
      <c r="H22" s="491" t="str">
        <f>IF(Roster!$AE$29=0,"",Roster!$AE$29)</f>
        <v>OTHER INDUCEMENTS</v>
      </c>
      <c r="I22" s="304"/>
      <c r="J22" s="305"/>
      <c r="K22" s="162"/>
      <c r="L22" s="481" t="str">
        <f>IF(Roster!$AE$31=0,"",Roster!$AE$31)</f>
        <v>WANDERING APO</v>
      </c>
      <c r="M22" s="304"/>
      <c r="N22" s="305"/>
      <c r="O22" s="162"/>
      <c r="Q22" s="150" t="str">
        <f>IF(Roster!$AO$1=0,"",Roster!$AO$1)</f>
        <v>COST</v>
      </c>
      <c r="R22" s="150"/>
      <c r="S22" s="485"/>
      <c r="T22" s="486"/>
      <c r="U22" s="486"/>
      <c r="V22" s="486"/>
      <c r="W22" s="486"/>
      <c r="X22" s="486"/>
      <c r="Y22" s="486"/>
      <c r="Z22" s="486"/>
      <c r="AA22" s="486"/>
      <c r="AB22" s="486"/>
      <c r="AC22" s="487"/>
      <c r="AD22" s="162"/>
      <c r="AF22" s="150" t="str">
        <f>IF(Roster!$AO$1=0,"",Roster!$AO$1)</f>
        <v>COST</v>
      </c>
      <c r="AG22" s="150"/>
      <c r="AH22" s="485"/>
      <c r="AI22" s="486"/>
      <c r="AJ22" s="486"/>
      <c r="AK22" s="486"/>
      <c r="AL22" s="486"/>
      <c r="AM22" s="486"/>
      <c r="AN22" s="486"/>
      <c r="AO22" s="486"/>
      <c r="AP22" s="486"/>
      <c r="AQ22" s="486"/>
      <c r="AR22" s="487"/>
      <c r="AS22" s="162"/>
      <c r="AU22" s="150" t="str">
        <f>IF(Roster!$AO$1=0,"",Roster!$AO$1)</f>
        <v>COST</v>
      </c>
      <c r="AV22" s="150"/>
      <c r="AW22" s="485"/>
      <c r="AX22" s="486"/>
      <c r="AY22" s="486"/>
      <c r="AZ22" s="486"/>
      <c r="BA22" s="486"/>
      <c r="BB22" s="486"/>
      <c r="BC22" s="486"/>
      <c r="BD22" s="486"/>
      <c r="BE22" s="486"/>
      <c r="BF22" s="486"/>
      <c r="BG22" s="487"/>
      <c r="BH22" s="162"/>
    </row>
    <row r="23" spans="2:60" ht="34.5" customHeight="1" x14ac:dyDescent="0.2">
      <c r="B23" s="451"/>
      <c r="C23" s="163"/>
      <c r="D23" s="479">
        <f>Roster!$AJ$28</f>
        <v>0</v>
      </c>
      <c r="E23" s="304"/>
      <c r="F23" s="305"/>
      <c r="G23" s="162"/>
      <c r="H23" s="479">
        <f>Roster!$AJ$29</f>
        <v>0</v>
      </c>
      <c r="I23" s="304"/>
      <c r="J23" s="305"/>
      <c r="K23" s="162"/>
      <c r="L23" s="479">
        <f>Roster!$AJ$31</f>
        <v>0</v>
      </c>
      <c r="M23" s="304"/>
      <c r="N23" s="305"/>
      <c r="O23" s="162"/>
      <c r="Q23" s="164">
        <f>IF(Roster!$AO$2=0,"",Roster!$AO$2)</f>
        <v>150000</v>
      </c>
      <c r="R23" s="165"/>
      <c r="S23" s="488"/>
      <c r="T23" s="489"/>
      <c r="U23" s="489"/>
      <c r="V23" s="489"/>
      <c r="W23" s="489"/>
      <c r="X23" s="489"/>
      <c r="Y23" s="489"/>
      <c r="Z23" s="489"/>
      <c r="AA23" s="489"/>
      <c r="AB23" s="489"/>
      <c r="AC23" s="490"/>
      <c r="AD23" s="162"/>
      <c r="AF23" s="164">
        <f>IF(Roster!$AO$3=0,"",Roster!$AO$3)</f>
        <v>150000</v>
      </c>
      <c r="AG23" s="165"/>
      <c r="AH23" s="488"/>
      <c r="AI23" s="489"/>
      <c r="AJ23" s="489"/>
      <c r="AK23" s="489"/>
      <c r="AL23" s="489"/>
      <c r="AM23" s="489"/>
      <c r="AN23" s="489"/>
      <c r="AO23" s="489"/>
      <c r="AP23" s="489"/>
      <c r="AQ23" s="489"/>
      <c r="AR23" s="490"/>
      <c r="AS23" s="162"/>
      <c r="AU23" s="164">
        <f>IF(Roster!$AO$4=0,"",Roster!$AO$4)</f>
        <v>70000</v>
      </c>
      <c r="AV23" s="165"/>
      <c r="AW23" s="488"/>
      <c r="AX23" s="489"/>
      <c r="AY23" s="489"/>
      <c r="AZ23" s="489"/>
      <c r="BA23" s="489"/>
      <c r="BB23" s="489"/>
      <c r="BC23" s="489"/>
      <c r="BD23" s="489"/>
      <c r="BE23" s="489"/>
      <c r="BF23" s="489"/>
      <c r="BG23" s="490"/>
      <c r="BH23" s="162"/>
    </row>
    <row r="24" spans="2:60" ht="4.5" customHeight="1" x14ac:dyDescent="0.2">
      <c r="B24" s="502"/>
      <c r="C24" s="304"/>
      <c r="D24" s="304"/>
      <c r="E24" s="304"/>
      <c r="F24" s="304"/>
      <c r="G24" s="304"/>
      <c r="H24" s="304"/>
      <c r="I24" s="304"/>
      <c r="J24" s="304"/>
      <c r="K24" s="304"/>
      <c r="L24" s="304"/>
      <c r="M24" s="304"/>
      <c r="N24" s="305"/>
      <c r="O24" s="162"/>
      <c r="Q24" s="502"/>
      <c r="R24" s="304"/>
      <c r="S24" s="304"/>
      <c r="T24" s="304"/>
      <c r="U24" s="304"/>
      <c r="V24" s="304"/>
      <c r="W24" s="304"/>
      <c r="X24" s="304"/>
      <c r="Y24" s="304"/>
      <c r="Z24" s="304"/>
      <c r="AA24" s="304"/>
      <c r="AB24" s="304"/>
      <c r="AC24" s="305"/>
      <c r="AD24" s="162"/>
      <c r="AF24" s="502"/>
      <c r="AG24" s="304"/>
      <c r="AH24" s="304"/>
      <c r="AI24" s="304"/>
      <c r="AJ24" s="304"/>
      <c r="AK24" s="304"/>
      <c r="AL24" s="304"/>
      <c r="AM24" s="304"/>
      <c r="AN24" s="304"/>
      <c r="AO24" s="304"/>
      <c r="AP24" s="304"/>
      <c r="AQ24" s="304"/>
      <c r="AR24" s="305"/>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7" t="str">
        <f>IF(Roster!$A$5=0,"","#"&amp;Roster!$A$5)</f>
        <v>#4</v>
      </c>
      <c r="C26" s="146"/>
      <c r="D26" s="146"/>
      <c r="E26" s="146"/>
      <c r="F26" s="146"/>
      <c r="G26" s="146"/>
      <c r="H26" s="146"/>
      <c r="I26" s="146"/>
      <c r="J26" s="146"/>
      <c r="K26" s="146"/>
      <c r="L26" s="146"/>
      <c r="M26" s="146"/>
      <c r="N26" s="146"/>
      <c r="O26" s="146"/>
      <c r="Q26" s="477" t="str">
        <f>IF(Roster!$A$6=0,"","#"&amp;Roster!$A$6)</f>
        <v>#5</v>
      </c>
      <c r="R26" s="146"/>
      <c r="S26" s="146"/>
      <c r="T26" s="146"/>
      <c r="U26" s="146"/>
      <c r="V26" s="146"/>
      <c r="W26" s="146"/>
      <c r="X26" s="146"/>
      <c r="Y26" s="146"/>
      <c r="Z26" s="146"/>
      <c r="AA26" s="146"/>
      <c r="AB26" s="146"/>
      <c r="AC26" s="146"/>
      <c r="AD26" s="146"/>
      <c r="AF26" s="477" t="str">
        <f>IF(Roster!$A$7=0,"","#"&amp;Roster!$A$7)</f>
        <v>#6</v>
      </c>
      <c r="AG26" s="146"/>
      <c r="AH26" s="146"/>
      <c r="AI26" s="146"/>
      <c r="AJ26" s="146"/>
      <c r="AK26" s="146"/>
      <c r="AL26" s="146"/>
      <c r="AM26" s="146"/>
      <c r="AN26" s="146"/>
      <c r="AO26" s="146"/>
      <c r="AP26" s="146"/>
      <c r="AQ26" s="146"/>
      <c r="AR26" s="146"/>
      <c r="AS26" s="146"/>
      <c r="AU26" s="477" t="str">
        <f>IF(Roster!$A$8=0,"","#"&amp;Roster!$A$8)</f>
        <v>#7</v>
      </c>
      <c r="AV26" s="146"/>
      <c r="AW26" s="146"/>
      <c r="AX26" s="146"/>
      <c r="AY26" s="146"/>
      <c r="AZ26" s="146"/>
      <c r="BA26" s="146"/>
      <c r="BB26" s="146"/>
      <c r="BC26" s="146"/>
      <c r="BD26" s="146"/>
      <c r="BE26" s="146"/>
      <c r="BF26" s="146"/>
      <c r="BG26" s="146"/>
      <c r="BH26" s="146"/>
    </row>
    <row r="27" spans="2:60" ht="15" customHeight="1" x14ac:dyDescent="0.25">
      <c r="B27" s="291"/>
      <c r="C27" s="480" t="str">
        <f>IF(Roster!$B$5=0,"",Roster!$B$5)</f>
        <v>Fuel</v>
      </c>
      <c r="D27" s="304"/>
      <c r="E27" s="304"/>
      <c r="F27" s="304"/>
      <c r="G27" s="304"/>
      <c r="H27" s="304"/>
      <c r="I27" s="304"/>
      <c r="J27" s="304"/>
      <c r="K27" s="304"/>
      <c r="L27" s="304"/>
      <c r="M27" s="304"/>
      <c r="N27" s="305"/>
      <c r="O27" s="146"/>
      <c r="Q27" s="291"/>
      <c r="R27" s="480" t="str">
        <f>IF(Roster!$B$6=0,"",Roster!$B$6)</f>
        <v>Kagos</v>
      </c>
      <c r="S27" s="304"/>
      <c r="T27" s="304"/>
      <c r="U27" s="304"/>
      <c r="V27" s="304"/>
      <c r="W27" s="304"/>
      <c r="X27" s="304"/>
      <c r="Y27" s="304"/>
      <c r="Z27" s="304"/>
      <c r="AA27" s="304"/>
      <c r="AB27" s="304"/>
      <c r="AC27" s="305"/>
      <c r="AD27" s="146"/>
      <c r="AF27" s="291"/>
      <c r="AG27" s="480" t="str">
        <f>IF(Roster!$B$7=0,"",Roster!$B$7)</f>
        <v>Slower</v>
      </c>
      <c r="AH27" s="304"/>
      <c r="AI27" s="304"/>
      <c r="AJ27" s="304"/>
      <c r="AK27" s="304"/>
      <c r="AL27" s="304"/>
      <c r="AM27" s="304"/>
      <c r="AN27" s="304"/>
      <c r="AO27" s="304"/>
      <c r="AP27" s="304"/>
      <c r="AQ27" s="304"/>
      <c r="AR27" s="305"/>
      <c r="AS27" s="146"/>
      <c r="AU27" s="291"/>
      <c r="AV27" s="480" t="str">
        <f>IF(Roster!$B$8=0,"",Roster!$B$8)</f>
        <v>Blazer</v>
      </c>
      <c r="AW27" s="304"/>
      <c r="AX27" s="304"/>
      <c r="AY27" s="304"/>
      <c r="AZ27" s="304"/>
      <c r="BA27" s="304"/>
      <c r="BB27" s="304"/>
      <c r="BC27" s="304"/>
      <c r="BD27" s="304"/>
      <c r="BE27" s="304"/>
      <c r="BF27" s="304"/>
      <c r="BG27" s="305"/>
      <c r="BH27" s="146"/>
    </row>
    <row r="28" spans="2:60" ht="11.25" customHeight="1" x14ac:dyDescent="0.2">
      <c r="B28" s="451"/>
      <c r="C28" s="481" t="str">
        <f>IF(Roster!$D$5=0,"",Roster!$D$5)</f>
        <v>Chaos Dwarf Blocker</v>
      </c>
      <c r="D28" s="304"/>
      <c r="E28" s="304"/>
      <c r="F28" s="304"/>
      <c r="G28" s="304"/>
      <c r="H28" s="304"/>
      <c r="I28" s="304"/>
      <c r="J28" s="304"/>
      <c r="K28" s="304"/>
      <c r="L28" s="304"/>
      <c r="M28" s="304"/>
      <c r="N28" s="305"/>
      <c r="O28" s="147"/>
      <c r="Q28" s="451"/>
      <c r="R28" s="481" t="str">
        <f>IF(Roster!$D$6=0,"",Roster!$D$6)</f>
        <v>Chaos Dwarf Blocker</v>
      </c>
      <c r="S28" s="304"/>
      <c r="T28" s="304"/>
      <c r="U28" s="304"/>
      <c r="V28" s="304"/>
      <c r="W28" s="304"/>
      <c r="X28" s="304"/>
      <c r="Y28" s="304"/>
      <c r="Z28" s="304"/>
      <c r="AA28" s="304"/>
      <c r="AB28" s="304"/>
      <c r="AC28" s="305"/>
      <c r="AD28" s="147"/>
      <c r="AF28" s="451"/>
      <c r="AG28" s="481" t="str">
        <f>IF(Roster!$D$7=0,"",Roster!$D$7)</f>
        <v>Chaos Dwarf Blocker</v>
      </c>
      <c r="AH28" s="304"/>
      <c r="AI28" s="304"/>
      <c r="AJ28" s="304"/>
      <c r="AK28" s="304"/>
      <c r="AL28" s="304"/>
      <c r="AM28" s="304"/>
      <c r="AN28" s="304"/>
      <c r="AO28" s="304"/>
      <c r="AP28" s="304"/>
      <c r="AQ28" s="304"/>
      <c r="AR28" s="305"/>
      <c r="AS28" s="147"/>
      <c r="AU28" s="451"/>
      <c r="AV28" s="481" t="str">
        <f>IF(Roster!$D$8=0,"",Roster!$D$8)</f>
        <v>Chaos Dwarf Flamesmith</v>
      </c>
      <c r="AW28" s="304"/>
      <c r="AX28" s="304"/>
      <c r="AY28" s="304"/>
      <c r="AZ28" s="304"/>
      <c r="BA28" s="304"/>
      <c r="BB28" s="304"/>
      <c r="BC28" s="304"/>
      <c r="BD28" s="304"/>
      <c r="BE28" s="304"/>
      <c r="BF28" s="304"/>
      <c r="BG28" s="305"/>
      <c r="BH28" s="147"/>
    </row>
    <row r="29" spans="2:60" ht="11.25" customHeight="1" x14ac:dyDescent="0.2">
      <c r="B29" s="150" t="str">
        <f>IF(Roster!$K$1=0,"",Roster!$K$1)</f>
        <v>MA</v>
      </c>
      <c r="C29" s="149"/>
      <c r="D29" s="492"/>
      <c r="E29" s="492"/>
      <c r="F29" s="492"/>
      <c r="G29" s="492"/>
      <c r="H29" s="492"/>
      <c r="I29" s="492"/>
      <c r="J29" s="492"/>
      <c r="K29" s="492"/>
      <c r="L29" s="492"/>
      <c r="M29" s="492"/>
      <c r="N29" s="492"/>
      <c r="O29" s="146"/>
      <c r="Q29" s="150" t="str">
        <f>IF(Roster!$K$1=0,"",Roster!$K$1)</f>
        <v>MA</v>
      </c>
      <c r="R29" s="149"/>
      <c r="S29" s="492"/>
      <c r="T29" s="492"/>
      <c r="U29" s="492"/>
      <c r="V29" s="492"/>
      <c r="W29" s="492"/>
      <c r="X29" s="492"/>
      <c r="Y29" s="492"/>
      <c r="Z29" s="492"/>
      <c r="AA29" s="492"/>
      <c r="AB29" s="492"/>
      <c r="AC29" s="492"/>
      <c r="AD29" s="146"/>
      <c r="AF29" s="150" t="str">
        <f>IF(Roster!$K$1=0,"",Roster!$K$1)</f>
        <v>MA</v>
      </c>
      <c r="AG29" s="149"/>
      <c r="AH29" s="492"/>
      <c r="AI29" s="492"/>
      <c r="AJ29" s="492"/>
      <c r="AK29" s="492"/>
      <c r="AL29" s="492"/>
      <c r="AM29" s="492"/>
      <c r="AN29" s="492"/>
      <c r="AO29" s="492"/>
      <c r="AP29" s="492"/>
      <c r="AQ29" s="492"/>
      <c r="AR29" s="492"/>
      <c r="AS29" s="146"/>
      <c r="AU29" s="150" t="str">
        <f>IF(Roster!$K$1=0,"",Roster!$K$1)</f>
        <v>MA</v>
      </c>
      <c r="AV29" s="149"/>
      <c r="AW29" s="492"/>
      <c r="AX29" s="492"/>
      <c r="AY29" s="492"/>
      <c r="AZ29" s="492"/>
      <c r="BA29" s="492"/>
      <c r="BB29" s="492"/>
      <c r="BC29" s="492"/>
      <c r="BD29" s="492"/>
      <c r="BE29" s="492"/>
      <c r="BF29" s="492"/>
      <c r="BG29" s="492"/>
      <c r="BH29" s="146"/>
    </row>
    <row r="30" spans="2:60" ht="37.5" customHeight="1" x14ac:dyDescent="0.2">
      <c r="B30" s="152">
        <f>IF(Roster!$K$5=0,"",Roster!$K$5)</f>
        <v>4</v>
      </c>
      <c r="C30" s="149"/>
      <c r="D30" s="492"/>
      <c r="E30" s="492"/>
      <c r="F30" s="492"/>
      <c r="G30" s="492"/>
      <c r="H30" s="492"/>
      <c r="I30" s="492"/>
      <c r="J30" s="492"/>
      <c r="K30" s="492"/>
      <c r="L30" s="492"/>
      <c r="M30" s="492"/>
      <c r="N30" s="492"/>
      <c r="O30" s="146"/>
      <c r="Q30" s="152">
        <f>IF(Roster!$K$6=0,"",Roster!$K$6)</f>
        <v>4</v>
      </c>
      <c r="R30" s="149"/>
      <c r="S30" s="492"/>
      <c r="T30" s="492"/>
      <c r="U30" s="492"/>
      <c r="V30" s="492"/>
      <c r="W30" s="492"/>
      <c r="X30" s="492"/>
      <c r="Y30" s="492"/>
      <c r="Z30" s="492"/>
      <c r="AA30" s="492"/>
      <c r="AB30" s="492"/>
      <c r="AC30" s="492"/>
      <c r="AD30" s="146"/>
      <c r="AF30" s="152">
        <f>IF(Roster!$K$7=0,"",Roster!$K$7)</f>
        <v>4</v>
      </c>
      <c r="AG30" s="149"/>
      <c r="AH30" s="492"/>
      <c r="AI30" s="492"/>
      <c r="AJ30" s="492"/>
      <c r="AK30" s="492"/>
      <c r="AL30" s="492"/>
      <c r="AM30" s="492"/>
      <c r="AN30" s="492"/>
      <c r="AO30" s="492"/>
      <c r="AP30" s="492"/>
      <c r="AQ30" s="492"/>
      <c r="AR30" s="492"/>
      <c r="AS30" s="146"/>
      <c r="AU30" s="152">
        <f>IF(Roster!$K$8=0,"",Roster!$K$8)</f>
        <v>5</v>
      </c>
      <c r="AV30" s="149"/>
      <c r="AW30" s="492"/>
      <c r="AX30" s="492"/>
      <c r="AY30" s="492"/>
      <c r="AZ30" s="492"/>
      <c r="BA30" s="492"/>
      <c r="BB30" s="492"/>
      <c r="BC30" s="492"/>
      <c r="BD30" s="492"/>
      <c r="BE30" s="492"/>
      <c r="BF30" s="492"/>
      <c r="BG30" s="492"/>
      <c r="BH30" s="146"/>
    </row>
    <row r="31" spans="2:60" ht="11.25" customHeight="1" x14ac:dyDescent="0.2">
      <c r="B31" s="150" t="str">
        <f>IF(Roster!$L$1=0,"",Roster!$L$1)</f>
        <v>ST</v>
      </c>
      <c r="C31" s="149"/>
      <c r="D31" s="492"/>
      <c r="E31" s="492"/>
      <c r="F31" s="492"/>
      <c r="G31" s="492"/>
      <c r="H31" s="492"/>
      <c r="I31" s="492"/>
      <c r="J31" s="492"/>
      <c r="K31" s="492"/>
      <c r="L31" s="492"/>
      <c r="M31" s="492"/>
      <c r="N31" s="492"/>
      <c r="O31" s="146"/>
      <c r="Q31" s="150" t="str">
        <f>IF(Roster!$L$1=0,"",Roster!$L$1)</f>
        <v>ST</v>
      </c>
      <c r="R31" s="149"/>
      <c r="S31" s="492"/>
      <c r="T31" s="492"/>
      <c r="U31" s="492"/>
      <c r="V31" s="492"/>
      <c r="W31" s="492"/>
      <c r="X31" s="492"/>
      <c r="Y31" s="492"/>
      <c r="Z31" s="492"/>
      <c r="AA31" s="492"/>
      <c r="AB31" s="492"/>
      <c r="AC31" s="492"/>
      <c r="AD31" s="146"/>
      <c r="AF31" s="150" t="str">
        <f>IF(Roster!$L$1=0,"",Roster!$L$1)</f>
        <v>ST</v>
      </c>
      <c r="AG31" s="149"/>
      <c r="AH31" s="492"/>
      <c r="AI31" s="492"/>
      <c r="AJ31" s="492"/>
      <c r="AK31" s="492"/>
      <c r="AL31" s="492"/>
      <c r="AM31" s="492"/>
      <c r="AN31" s="492"/>
      <c r="AO31" s="492"/>
      <c r="AP31" s="492"/>
      <c r="AQ31" s="492"/>
      <c r="AR31" s="492"/>
      <c r="AS31" s="146"/>
      <c r="AU31" s="150" t="str">
        <f>IF(Roster!$L$1=0,"",Roster!$L$1)</f>
        <v>ST</v>
      </c>
      <c r="AV31" s="149"/>
      <c r="AW31" s="492"/>
      <c r="AX31" s="492"/>
      <c r="AY31" s="492"/>
      <c r="AZ31" s="492"/>
      <c r="BA31" s="492"/>
      <c r="BB31" s="492"/>
      <c r="BC31" s="492"/>
      <c r="BD31" s="492"/>
      <c r="BE31" s="492"/>
      <c r="BF31" s="492"/>
      <c r="BG31" s="492"/>
      <c r="BH31" s="146"/>
    </row>
    <row r="32" spans="2:60" ht="37.5" customHeight="1" x14ac:dyDescent="0.2">
      <c r="B32" s="152">
        <f>IF(Roster!$L$5=0,"",Roster!$L$5)</f>
        <v>3</v>
      </c>
      <c r="C32" s="149"/>
      <c r="D32" s="492"/>
      <c r="E32" s="492"/>
      <c r="F32" s="492"/>
      <c r="G32" s="492"/>
      <c r="H32" s="492"/>
      <c r="I32" s="492"/>
      <c r="J32" s="492"/>
      <c r="K32" s="492"/>
      <c r="L32" s="492"/>
      <c r="M32" s="492"/>
      <c r="N32" s="492"/>
      <c r="O32" s="146"/>
      <c r="Q32" s="152">
        <f>IF(Roster!$L$6=0,"",Roster!$L$6)</f>
        <v>3</v>
      </c>
      <c r="R32" s="149"/>
      <c r="S32" s="492"/>
      <c r="T32" s="492"/>
      <c r="U32" s="492"/>
      <c r="V32" s="492"/>
      <c r="W32" s="492"/>
      <c r="X32" s="492"/>
      <c r="Y32" s="492"/>
      <c r="Z32" s="492"/>
      <c r="AA32" s="492"/>
      <c r="AB32" s="492"/>
      <c r="AC32" s="492"/>
      <c r="AD32" s="146"/>
      <c r="AF32" s="152">
        <f>IF(Roster!$L$7=0,"",Roster!$L$7)</f>
        <v>3</v>
      </c>
      <c r="AG32" s="149"/>
      <c r="AH32" s="492"/>
      <c r="AI32" s="492"/>
      <c r="AJ32" s="492"/>
      <c r="AK32" s="492"/>
      <c r="AL32" s="492"/>
      <c r="AM32" s="492"/>
      <c r="AN32" s="492"/>
      <c r="AO32" s="492"/>
      <c r="AP32" s="492"/>
      <c r="AQ32" s="492"/>
      <c r="AR32" s="492"/>
      <c r="AS32" s="146"/>
      <c r="AU32" s="152">
        <f>IF(Roster!$L$8=0,"",Roster!$L$8)</f>
        <v>3</v>
      </c>
      <c r="AV32" s="149"/>
      <c r="AW32" s="492"/>
      <c r="AX32" s="492"/>
      <c r="AY32" s="492"/>
      <c r="AZ32" s="492"/>
      <c r="BA32" s="492"/>
      <c r="BB32" s="492"/>
      <c r="BC32" s="492"/>
      <c r="BD32" s="492"/>
      <c r="BE32" s="492"/>
      <c r="BF32" s="492"/>
      <c r="BG32" s="492"/>
      <c r="BH32" s="146"/>
    </row>
    <row r="33" spans="2:60" ht="11.25" customHeight="1" x14ac:dyDescent="0.2">
      <c r="B33" s="150" t="str">
        <f>IF(Roster!$M$1=0,"",Roster!$M$1)</f>
        <v>AG</v>
      </c>
      <c r="C33" s="149"/>
      <c r="D33" s="492"/>
      <c r="E33" s="492"/>
      <c r="F33" s="492"/>
      <c r="G33" s="492"/>
      <c r="H33" s="492"/>
      <c r="I33" s="492"/>
      <c r="J33" s="492"/>
      <c r="K33" s="492"/>
      <c r="L33" s="492"/>
      <c r="M33" s="492"/>
      <c r="N33" s="492"/>
      <c r="O33" s="146"/>
      <c r="Q33" s="150" t="str">
        <f>IF(Roster!$M$1=0,"",Roster!$M$1)</f>
        <v>AG</v>
      </c>
      <c r="R33" s="149"/>
      <c r="S33" s="492"/>
      <c r="T33" s="492"/>
      <c r="U33" s="492"/>
      <c r="V33" s="492"/>
      <c r="W33" s="492"/>
      <c r="X33" s="492"/>
      <c r="Y33" s="492"/>
      <c r="Z33" s="492"/>
      <c r="AA33" s="492"/>
      <c r="AB33" s="492"/>
      <c r="AC33" s="492"/>
      <c r="AD33" s="146"/>
      <c r="AF33" s="150" t="str">
        <f>IF(Roster!$M$1=0,"",Roster!$M$1)</f>
        <v>AG</v>
      </c>
      <c r="AG33" s="149"/>
      <c r="AH33" s="492"/>
      <c r="AI33" s="492"/>
      <c r="AJ33" s="492"/>
      <c r="AK33" s="492"/>
      <c r="AL33" s="492"/>
      <c r="AM33" s="492"/>
      <c r="AN33" s="492"/>
      <c r="AO33" s="492"/>
      <c r="AP33" s="492"/>
      <c r="AQ33" s="492"/>
      <c r="AR33" s="492"/>
      <c r="AS33" s="146"/>
      <c r="AU33" s="150" t="str">
        <f>IF(Roster!$M$1=0,"",Roster!$M$1)</f>
        <v>AG</v>
      </c>
      <c r="AV33" s="149"/>
      <c r="AW33" s="492"/>
      <c r="AX33" s="492"/>
      <c r="AY33" s="492"/>
      <c r="AZ33" s="492"/>
      <c r="BA33" s="492"/>
      <c r="BB33" s="492"/>
      <c r="BC33" s="492"/>
      <c r="BD33" s="492"/>
      <c r="BE33" s="492"/>
      <c r="BF33" s="492"/>
      <c r="BG33" s="492"/>
      <c r="BH33" s="146"/>
    </row>
    <row r="34" spans="2:60" ht="37.5" customHeight="1" x14ac:dyDescent="0.2">
      <c r="B34" s="152" t="str">
        <f>IF(Roster!$M$5=0&amp;"+","",Roster!$M$5)</f>
        <v>4+</v>
      </c>
      <c r="C34" s="149"/>
      <c r="D34" s="492"/>
      <c r="E34" s="492"/>
      <c r="F34" s="492"/>
      <c r="G34" s="492"/>
      <c r="H34" s="492"/>
      <c r="I34" s="492"/>
      <c r="J34" s="492"/>
      <c r="K34" s="492"/>
      <c r="L34" s="492"/>
      <c r="M34" s="492"/>
      <c r="N34" s="492"/>
      <c r="O34" s="146"/>
      <c r="Q34" s="152" t="str">
        <f>IF(Roster!$M$6=0&amp;"+","",Roster!$M$6)</f>
        <v>4+</v>
      </c>
      <c r="R34" s="149"/>
      <c r="S34" s="492"/>
      <c r="T34" s="492"/>
      <c r="U34" s="492"/>
      <c r="V34" s="492"/>
      <c r="W34" s="492"/>
      <c r="X34" s="492"/>
      <c r="Y34" s="492"/>
      <c r="Z34" s="492"/>
      <c r="AA34" s="492"/>
      <c r="AB34" s="492"/>
      <c r="AC34" s="492"/>
      <c r="AD34" s="146"/>
      <c r="AF34" s="152" t="str">
        <f>IF(Roster!$M$7=0&amp;"+","",Roster!$M$7)</f>
        <v>4+</v>
      </c>
      <c r="AG34" s="149"/>
      <c r="AH34" s="492"/>
      <c r="AI34" s="492"/>
      <c r="AJ34" s="492"/>
      <c r="AK34" s="492"/>
      <c r="AL34" s="492"/>
      <c r="AM34" s="492"/>
      <c r="AN34" s="492"/>
      <c r="AO34" s="492"/>
      <c r="AP34" s="492"/>
      <c r="AQ34" s="492"/>
      <c r="AR34" s="492"/>
      <c r="AS34" s="146"/>
      <c r="AU34" s="152" t="str">
        <f>IF(Roster!$M$8=0&amp;"+","",Roster!$M$8)</f>
        <v>4+</v>
      </c>
      <c r="AV34" s="149"/>
      <c r="AW34" s="492"/>
      <c r="AX34" s="492"/>
      <c r="AY34" s="492"/>
      <c r="AZ34" s="492"/>
      <c r="BA34" s="492"/>
      <c r="BB34" s="492"/>
      <c r="BC34" s="492"/>
      <c r="BD34" s="492"/>
      <c r="BE34" s="492"/>
      <c r="BF34" s="492"/>
      <c r="BG34" s="492"/>
      <c r="BH34" s="146"/>
    </row>
    <row r="35" spans="2:60" ht="11.25" customHeight="1" x14ac:dyDescent="0.2">
      <c r="B35" s="150" t="str">
        <f>IF(Roster!$N$1=0,"",Roster!$N$1)</f>
        <v>PA</v>
      </c>
      <c r="C35" s="149"/>
      <c r="D35" s="492"/>
      <c r="E35" s="492"/>
      <c r="F35" s="492"/>
      <c r="G35" s="492"/>
      <c r="H35" s="492"/>
      <c r="I35" s="492"/>
      <c r="J35" s="492"/>
      <c r="K35" s="492"/>
      <c r="L35" s="492"/>
      <c r="M35" s="492"/>
      <c r="N35" s="492"/>
      <c r="O35" s="155"/>
      <c r="Q35" s="150" t="str">
        <f>IF(Roster!$N$1=0,"",Roster!$N$1)</f>
        <v>PA</v>
      </c>
      <c r="R35" s="149"/>
      <c r="S35" s="492"/>
      <c r="T35" s="492"/>
      <c r="U35" s="492"/>
      <c r="V35" s="492"/>
      <c r="W35" s="492"/>
      <c r="X35" s="492"/>
      <c r="Y35" s="492"/>
      <c r="Z35" s="492"/>
      <c r="AA35" s="492"/>
      <c r="AB35" s="492"/>
      <c r="AC35" s="492"/>
      <c r="AD35" s="155"/>
      <c r="AF35" s="150" t="str">
        <f>IF(Roster!$N$1=0,"",Roster!$N$1)</f>
        <v>PA</v>
      </c>
      <c r="AG35" s="149"/>
      <c r="AH35" s="492"/>
      <c r="AI35" s="492"/>
      <c r="AJ35" s="492"/>
      <c r="AK35" s="492"/>
      <c r="AL35" s="492"/>
      <c r="AM35" s="492"/>
      <c r="AN35" s="492"/>
      <c r="AO35" s="492"/>
      <c r="AP35" s="492"/>
      <c r="AQ35" s="492"/>
      <c r="AR35" s="492"/>
      <c r="AS35" s="155"/>
      <c r="AU35" s="150" t="str">
        <f>IF(Roster!$N$1=0,"",Roster!$N$1)</f>
        <v>PA</v>
      </c>
      <c r="AV35" s="149"/>
      <c r="AW35" s="492"/>
      <c r="AX35" s="492"/>
      <c r="AY35" s="492"/>
      <c r="AZ35" s="492"/>
      <c r="BA35" s="492"/>
      <c r="BB35" s="492"/>
      <c r="BC35" s="492"/>
      <c r="BD35" s="492"/>
      <c r="BE35" s="492"/>
      <c r="BF35" s="492"/>
      <c r="BG35" s="492"/>
      <c r="BH35" s="155"/>
    </row>
    <row r="36" spans="2:60" ht="6" customHeight="1" x14ac:dyDescent="0.2">
      <c r="B36" s="474" t="str">
        <f>IF(Roster!$N$5=0&amp;"+","",Roster!$N$5)</f>
        <v>6+</v>
      </c>
      <c r="C36" s="149"/>
      <c r="D36" s="492"/>
      <c r="E36" s="492"/>
      <c r="F36" s="492"/>
      <c r="G36" s="492"/>
      <c r="H36" s="492"/>
      <c r="I36" s="492"/>
      <c r="J36" s="492"/>
      <c r="K36" s="492"/>
      <c r="L36" s="492"/>
      <c r="M36" s="492"/>
      <c r="N36" s="492"/>
      <c r="O36" s="157"/>
      <c r="Q36" s="474" t="str">
        <f>IF(Roster!$N$6=0&amp;"+","",Roster!$N$6)</f>
        <v>6+</v>
      </c>
      <c r="R36" s="149"/>
      <c r="S36" s="492"/>
      <c r="T36" s="492"/>
      <c r="U36" s="492"/>
      <c r="V36" s="492"/>
      <c r="W36" s="492"/>
      <c r="X36" s="492"/>
      <c r="Y36" s="492"/>
      <c r="Z36" s="492"/>
      <c r="AA36" s="492"/>
      <c r="AB36" s="492"/>
      <c r="AC36" s="492"/>
      <c r="AD36" s="157"/>
      <c r="AF36" s="474" t="str">
        <f>IF(Roster!$N$7=0&amp;"+","",Roster!$N$7)</f>
        <v>6+</v>
      </c>
      <c r="AG36" s="149"/>
      <c r="AH36" s="492"/>
      <c r="AI36" s="492"/>
      <c r="AJ36" s="492"/>
      <c r="AK36" s="492"/>
      <c r="AL36" s="492"/>
      <c r="AM36" s="492"/>
      <c r="AN36" s="492"/>
      <c r="AO36" s="492"/>
      <c r="AP36" s="492"/>
      <c r="AQ36" s="492"/>
      <c r="AR36" s="492"/>
      <c r="AS36" s="157"/>
      <c r="AU36" s="474" t="str">
        <f>IF(Roster!$N$8=0&amp;"+","",Roster!$N$8)</f>
        <v>6+</v>
      </c>
      <c r="AV36" s="149"/>
      <c r="AW36" s="492"/>
      <c r="AX36" s="492"/>
      <c r="AY36" s="492"/>
      <c r="AZ36" s="492"/>
      <c r="BA36" s="492"/>
      <c r="BB36" s="492"/>
      <c r="BC36" s="492"/>
      <c r="BD36" s="492"/>
      <c r="BE36" s="492"/>
      <c r="BF36" s="492"/>
      <c r="BG36" s="492"/>
      <c r="BH36" s="157"/>
    </row>
    <row r="37" spans="2:60" ht="4.5" customHeight="1" x14ac:dyDescent="0.2">
      <c r="B37" s="291"/>
      <c r="C37" s="149"/>
      <c r="D37" s="146"/>
      <c r="E37" s="156"/>
      <c r="F37" s="146"/>
      <c r="G37" s="156"/>
      <c r="H37" s="146"/>
      <c r="I37" s="156"/>
      <c r="J37" s="146"/>
      <c r="K37" s="156"/>
      <c r="L37" s="146"/>
      <c r="M37" s="156"/>
      <c r="N37" s="146"/>
      <c r="O37" s="157"/>
      <c r="Q37" s="291"/>
      <c r="R37" s="149"/>
      <c r="S37" s="146"/>
      <c r="T37" s="156"/>
      <c r="U37" s="146"/>
      <c r="V37" s="156"/>
      <c r="W37" s="146"/>
      <c r="X37" s="156"/>
      <c r="Y37" s="146"/>
      <c r="Z37" s="156"/>
      <c r="AA37" s="146"/>
      <c r="AB37" s="156"/>
      <c r="AC37" s="146"/>
      <c r="AD37" s="157"/>
      <c r="AF37" s="291"/>
      <c r="AG37" s="149"/>
      <c r="AH37" s="146"/>
      <c r="AI37" s="156"/>
      <c r="AJ37" s="146"/>
      <c r="AK37" s="156"/>
      <c r="AL37" s="146"/>
      <c r="AM37" s="156"/>
      <c r="AN37" s="146"/>
      <c r="AO37" s="156"/>
      <c r="AP37" s="146"/>
      <c r="AQ37" s="156"/>
      <c r="AR37" s="146"/>
      <c r="AS37" s="157"/>
      <c r="AU37" s="291"/>
      <c r="AV37" s="149"/>
      <c r="AW37" s="146"/>
      <c r="AX37" s="156"/>
      <c r="AY37" s="146"/>
      <c r="AZ37" s="156"/>
      <c r="BA37" s="146"/>
      <c r="BB37" s="156"/>
      <c r="BC37" s="146"/>
      <c r="BD37" s="156"/>
      <c r="BE37" s="146"/>
      <c r="BF37" s="156"/>
      <c r="BG37" s="146"/>
      <c r="BH37" s="157"/>
    </row>
    <row r="38" spans="2:60" ht="11.25" customHeight="1" x14ac:dyDescent="0.2">
      <c r="B38" s="291"/>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1"/>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1"/>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1"/>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1"/>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1"/>
      <c r="R39" s="151"/>
      <c r="S39" s="159" t="str">
        <f>IF(Roster!$AD$6=0,"",Roster!$AD$6)</f>
        <v/>
      </c>
      <c r="T39" s="151"/>
      <c r="U39" s="159">
        <f>IF((SUM(W39,Y39,AA39))=0,"",(SUM(W39,Y39,AA39)))</f>
        <v>2</v>
      </c>
      <c r="V39" s="151"/>
      <c r="W39" s="159">
        <f>IF(Roster!$AG$6=0,"",Roster!$AG$6)</f>
        <v>1</v>
      </c>
      <c r="X39" s="151"/>
      <c r="Y39" s="159" t="str">
        <f>IF(Roster!$AH$6=0,"",Roster!$AH$6)</f>
        <v/>
      </c>
      <c r="Z39" s="151"/>
      <c r="AA39" s="159">
        <f>IF(Roster!$AI$6=0,"",Roster!$AI$6)</f>
        <v>1</v>
      </c>
      <c r="AB39" s="151"/>
      <c r="AC39" s="159" t="str">
        <f>IF(Roster!$AC$6=0,"",Roster!$AC$6)</f>
        <v/>
      </c>
      <c r="AD39" s="157"/>
      <c r="AF39" s="291"/>
      <c r="AG39" s="151"/>
      <c r="AH39" s="159" t="str">
        <f>IF(Roster!$AD$7=0,"",Roster!$AD$7)</f>
        <v/>
      </c>
      <c r="AI39" s="151"/>
      <c r="AJ39" s="159">
        <f>IF((SUM(AL39,AN39,AP39))=0,"",(SUM(AL39,AN39,AP39)))</f>
        <v>1</v>
      </c>
      <c r="AK39" s="151"/>
      <c r="AL39" s="159" t="str">
        <f>IF(Roster!$AG$7=0,"",Roster!$AG$7)</f>
        <v/>
      </c>
      <c r="AM39" s="151"/>
      <c r="AN39" s="159" t="str">
        <f>IF(Roster!$AH$7=0,"",Roster!$AH$7)</f>
        <v/>
      </c>
      <c r="AO39" s="151"/>
      <c r="AP39" s="159">
        <f>IF(Roster!$AI$7=0,"",Roster!$AI$7)</f>
        <v>1</v>
      </c>
      <c r="AQ39" s="151"/>
      <c r="AR39" s="159" t="str">
        <f>IF(Roster!$AC$7=0,"",Roster!$AC$7)</f>
        <v/>
      </c>
      <c r="AS39" s="157"/>
      <c r="AU39" s="291"/>
      <c r="AV39" s="151"/>
      <c r="AW39" s="159" t="str">
        <f>IF(Roster!$AD$8=0,"",Roster!$AD$8)</f>
        <v/>
      </c>
      <c r="AX39" s="151"/>
      <c r="AY39" s="159">
        <f>IF((SUM(BA39,BC39,BE39))=0,"",(SUM(BA39,BC39,BE39)))</f>
        <v>1</v>
      </c>
      <c r="AZ39" s="151"/>
      <c r="BA39" s="159" t="str">
        <f>IF(Roster!$AG$8=0,"",Roster!$AG$8)</f>
        <v/>
      </c>
      <c r="BB39" s="151"/>
      <c r="BC39" s="159">
        <f>IF(Roster!$AH$8=0,"",Roster!$AH$8)</f>
        <v>1</v>
      </c>
      <c r="BD39" s="151"/>
      <c r="BE39" s="159" t="str">
        <f>IF(Roster!$AI$8=0,"",Roster!$AI$8)</f>
        <v/>
      </c>
      <c r="BF39" s="151"/>
      <c r="BG39" s="159" t="str">
        <f>IF(Roster!$AC$8=0,"",Roster!$AC$8)</f>
        <v/>
      </c>
      <c r="BH39" s="157"/>
    </row>
    <row r="40" spans="2:60" ht="4.5" customHeight="1" x14ac:dyDescent="0.2">
      <c r="B40" s="451"/>
      <c r="C40" s="151"/>
      <c r="D40" s="160"/>
      <c r="E40" s="151"/>
      <c r="F40" s="160"/>
      <c r="G40" s="151"/>
      <c r="H40" s="160"/>
      <c r="I40" s="151"/>
      <c r="J40" s="160"/>
      <c r="K40" s="151"/>
      <c r="L40" s="160"/>
      <c r="M40" s="151"/>
      <c r="N40" s="160"/>
      <c r="O40" s="157"/>
      <c r="Q40" s="451"/>
      <c r="R40" s="151"/>
      <c r="S40" s="160"/>
      <c r="T40" s="151"/>
      <c r="U40" s="160"/>
      <c r="V40" s="151"/>
      <c r="W40" s="160"/>
      <c r="X40" s="151"/>
      <c r="Y40" s="160"/>
      <c r="Z40" s="151"/>
      <c r="AA40" s="160"/>
      <c r="AB40" s="151"/>
      <c r="AC40" s="160"/>
      <c r="AD40" s="157"/>
      <c r="AF40" s="451"/>
      <c r="AG40" s="151"/>
      <c r="AH40" s="160"/>
      <c r="AI40" s="151"/>
      <c r="AJ40" s="160"/>
      <c r="AK40" s="151"/>
      <c r="AL40" s="160"/>
      <c r="AM40" s="151"/>
      <c r="AN40" s="160"/>
      <c r="AO40" s="151"/>
      <c r="AP40" s="160"/>
      <c r="AQ40" s="151"/>
      <c r="AR40" s="160"/>
      <c r="AS40" s="157"/>
      <c r="AU40" s="451"/>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4" t="str">
        <f>IF(Roster!$O$5=0&amp;"+","",Roster!$O$5)</f>
        <v>10+</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74" t="str">
        <f>IF(Roster!$O$6=0&amp;"+","",Roster!$O$6)</f>
        <v>10+</v>
      </c>
      <c r="R42" s="151"/>
      <c r="S42" s="159" t="str">
        <f>IF(Roster!$AE$6=0,"",Roster!$AE$6)</f>
        <v/>
      </c>
      <c r="T42" s="151"/>
      <c r="U42" s="159" t="str">
        <f>IF(Roster!$AF$6=0,"",Roster!$AF$6)</f>
        <v/>
      </c>
      <c r="V42" s="151"/>
      <c r="W42" s="159" t="str">
        <f>IF(Roster!$AB$6=0,"",Roster!$AB$6)</f>
        <v/>
      </c>
      <c r="X42" s="151"/>
      <c r="Y42" s="159" t="str">
        <f>IF(Roster!$AJ$6=0,"",Roster!$AJ$6)</f>
        <v/>
      </c>
      <c r="Z42" s="151"/>
      <c r="AA42" s="159">
        <f>IF(Roster!$AK$6=0,"",Roster!$AK$6)</f>
        <v>4</v>
      </c>
      <c r="AB42" s="151"/>
      <c r="AC42" s="159" t="str">
        <f>IF(Roster!$AA$6=0,"",Roster!$AA$6)</f>
        <v/>
      </c>
      <c r="AD42" s="161"/>
      <c r="AF42" s="474" t="str">
        <f>IF(Roster!$O$7=0&amp;"+","",Roster!$O$7)</f>
        <v>10+</v>
      </c>
      <c r="AG42" s="151"/>
      <c r="AH42" s="159" t="str">
        <f>IF(Roster!$AE$7=0,"",Roster!$AE$7)</f>
        <v/>
      </c>
      <c r="AI42" s="151"/>
      <c r="AJ42" s="159" t="str">
        <f>IF(Roster!$AF$7=0,"",Roster!$AF$7)</f>
        <v/>
      </c>
      <c r="AK42" s="151"/>
      <c r="AL42" s="159" t="str">
        <f>IF(Roster!$AB$7=0,"",Roster!$AB$7)</f>
        <v/>
      </c>
      <c r="AM42" s="151"/>
      <c r="AN42" s="159">
        <f>IF(Roster!$AJ$7=0,"",Roster!$AJ$7)</f>
        <v>1</v>
      </c>
      <c r="AO42" s="151"/>
      <c r="AP42" s="159">
        <f>IF(Roster!$AK$7=0,"",Roster!$AK$7)</f>
        <v>6</v>
      </c>
      <c r="AQ42" s="151"/>
      <c r="AR42" s="159" t="str">
        <f>IF(Roster!$AA$7=0,"",Roster!$AA$7)</f>
        <v/>
      </c>
      <c r="AS42" s="161"/>
      <c r="AU42" s="474" t="str">
        <f>IF(Roster!$O$8=0&amp;"+","",Roster!$O$8)</f>
        <v>10+</v>
      </c>
      <c r="AV42" s="151"/>
      <c r="AW42" s="159" t="str">
        <f>IF(Roster!$AE$8=0,"",Roster!$AE$8)</f>
        <v/>
      </c>
      <c r="AX42" s="151"/>
      <c r="AY42" s="159" t="str">
        <f>IF(Roster!$AF$8=0,"",Roster!$AF$8)</f>
        <v/>
      </c>
      <c r="AZ42" s="151"/>
      <c r="BA42" s="159" t="str">
        <f>IF(Roster!$AB$8=0,"",Roster!$AB$8)</f>
        <v/>
      </c>
      <c r="BB42" s="151"/>
      <c r="BC42" s="159" t="str">
        <f>IF(Roster!$AJ$8=0,"",Roster!$AJ$8)</f>
        <v/>
      </c>
      <c r="BD42" s="151"/>
      <c r="BE42" s="159">
        <f>IF(Roster!$AK$8=0,"",Roster!$AK$8)</f>
        <v>2</v>
      </c>
      <c r="BF42" s="151"/>
      <c r="BG42" s="159" t="str">
        <f>IF(Roster!$AA$8=0,"",Roster!$AA$8)</f>
        <v/>
      </c>
      <c r="BH42" s="161"/>
    </row>
    <row r="43" spans="2:60" ht="4.5" customHeight="1" x14ac:dyDescent="0.2">
      <c r="B43" s="291"/>
      <c r="C43" s="151"/>
      <c r="D43" s="151"/>
      <c r="E43" s="151"/>
      <c r="F43" s="151"/>
      <c r="G43" s="151"/>
      <c r="H43" s="151"/>
      <c r="I43" s="151"/>
      <c r="J43" s="151"/>
      <c r="K43" s="151"/>
      <c r="L43" s="151"/>
      <c r="M43" s="151"/>
      <c r="N43" s="157"/>
      <c r="O43" s="161"/>
      <c r="Q43" s="291"/>
      <c r="R43" s="151"/>
      <c r="S43" s="151"/>
      <c r="T43" s="151"/>
      <c r="U43" s="151"/>
      <c r="V43" s="151"/>
      <c r="W43" s="151"/>
      <c r="X43" s="151"/>
      <c r="Y43" s="151"/>
      <c r="Z43" s="151"/>
      <c r="AA43" s="151"/>
      <c r="AB43" s="151"/>
      <c r="AC43" s="157"/>
      <c r="AD43" s="161"/>
      <c r="AF43" s="291"/>
      <c r="AG43" s="151"/>
      <c r="AH43" s="151"/>
      <c r="AI43" s="151"/>
      <c r="AJ43" s="151"/>
      <c r="AK43" s="151"/>
      <c r="AL43" s="151"/>
      <c r="AM43" s="151"/>
      <c r="AN43" s="151"/>
      <c r="AO43" s="151"/>
      <c r="AP43" s="151"/>
      <c r="AQ43" s="151"/>
      <c r="AR43" s="157"/>
      <c r="AS43" s="161"/>
      <c r="AU43" s="291"/>
      <c r="AV43" s="151"/>
      <c r="AW43" s="151"/>
      <c r="AX43" s="151"/>
      <c r="AY43" s="151"/>
      <c r="AZ43" s="151"/>
      <c r="BA43" s="151"/>
      <c r="BB43" s="151"/>
      <c r="BC43" s="151"/>
      <c r="BD43" s="151"/>
      <c r="BE43" s="151"/>
      <c r="BF43" s="151"/>
      <c r="BG43" s="157"/>
      <c r="BH43" s="161"/>
    </row>
    <row r="44" spans="2:60" ht="11.25" customHeight="1" x14ac:dyDescent="0.2">
      <c r="B44" s="291"/>
      <c r="C44" s="151"/>
      <c r="D44" s="475" t="str">
        <f>IF(Roster!$K$25="Italiano","ABILITÀ &amp; TRATTI",(IF(Roster!$K$25="Español","HABILIDADES Y RASGOS","SKILLS &amp; TRAITS")))</f>
        <v>SKILLS &amp; TRAITS</v>
      </c>
      <c r="E44" s="304"/>
      <c r="F44" s="304"/>
      <c r="G44" s="304"/>
      <c r="H44" s="304"/>
      <c r="I44" s="304"/>
      <c r="J44" s="304"/>
      <c r="K44" s="304"/>
      <c r="L44" s="304"/>
      <c r="M44" s="304"/>
      <c r="N44" s="305"/>
      <c r="O44" s="161"/>
      <c r="Q44" s="291"/>
      <c r="R44" s="151"/>
      <c r="S44" s="475" t="str">
        <f>IF(Roster!$K$25="Italiano","ABILITÀ &amp; TRATTI",(IF(Roster!$K$25="Español","HABILIDADES Y RASGOS","SKILLS &amp; TRAITS")))</f>
        <v>SKILLS &amp; TRAITS</v>
      </c>
      <c r="T44" s="304"/>
      <c r="U44" s="304"/>
      <c r="V44" s="304"/>
      <c r="W44" s="304"/>
      <c r="X44" s="304"/>
      <c r="Y44" s="304"/>
      <c r="Z44" s="304"/>
      <c r="AA44" s="304"/>
      <c r="AB44" s="304"/>
      <c r="AC44" s="305"/>
      <c r="AD44" s="161"/>
      <c r="AF44" s="291"/>
      <c r="AG44" s="151"/>
      <c r="AH44" s="475" t="str">
        <f>IF(Roster!$K$25="Italiano","ABILITÀ &amp; TRATTI",(IF(Roster!$K$25="Español","HABILIDADES Y RASGOS","SKILLS &amp; TRAITS")))</f>
        <v>SKILLS &amp; TRAITS</v>
      </c>
      <c r="AI44" s="304"/>
      <c r="AJ44" s="304"/>
      <c r="AK44" s="304"/>
      <c r="AL44" s="304"/>
      <c r="AM44" s="304"/>
      <c r="AN44" s="304"/>
      <c r="AO44" s="304"/>
      <c r="AP44" s="304"/>
      <c r="AQ44" s="304"/>
      <c r="AR44" s="305"/>
      <c r="AS44" s="161"/>
      <c r="AU44" s="291"/>
      <c r="AV44" s="151"/>
      <c r="AW44" s="475" t="str">
        <f>IF(Roster!$K$25="Italiano","ABILITÀ &amp; TRATTI",(IF(Roster!$K$25="Español","HABILIDADES Y RASGOS","SKILLS &amp; TRAITS")))</f>
        <v>SKILLS &amp; TRAITS</v>
      </c>
      <c r="AX44" s="304"/>
      <c r="AY44" s="304"/>
      <c r="AZ44" s="304"/>
      <c r="BA44" s="304"/>
      <c r="BB44" s="304"/>
      <c r="BC44" s="304"/>
      <c r="BD44" s="304"/>
      <c r="BE44" s="304"/>
      <c r="BF44" s="304"/>
      <c r="BG44" s="305"/>
      <c r="BH44" s="161"/>
    </row>
    <row r="45" spans="2:60" ht="6.75" customHeight="1" x14ac:dyDescent="0.2">
      <c r="B45" s="451"/>
      <c r="C45" s="151"/>
      <c r="D45" s="482" t="str">
        <f>IF(Roster!$P$5=0&amp;BF5,"",Roster!$P$5)</f>
        <v>Block, Iron Hard Skin, Thick Skull</v>
      </c>
      <c r="E45" s="483"/>
      <c r="F45" s="483"/>
      <c r="G45" s="483"/>
      <c r="H45" s="483"/>
      <c r="I45" s="483"/>
      <c r="J45" s="483"/>
      <c r="K45" s="483"/>
      <c r="L45" s="483"/>
      <c r="M45" s="483"/>
      <c r="N45" s="484"/>
      <c r="O45" s="161"/>
      <c r="Q45" s="451"/>
      <c r="R45" s="151"/>
      <c r="S45" s="482" t="str">
        <f>IF(Roster!$P$6=0&amp;BF6,"",Roster!$P$6)</f>
        <v>Block, Iron Hard Skin, Thick Skull</v>
      </c>
      <c r="T45" s="483"/>
      <c r="U45" s="483"/>
      <c r="V45" s="483"/>
      <c r="W45" s="483"/>
      <c r="X45" s="483"/>
      <c r="Y45" s="483"/>
      <c r="Z45" s="483"/>
      <c r="AA45" s="483"/>
      <c r="AB45" s="483"/>
      <c r="AC45" s="484"/>
      <c r="AD45" s="161"/>
      <c r="AF45" s="451"/>
      <c r="AG45" s="151"/>
      <c r="AH45" s="482" t="str">
        <f>IF(Roster!$P$7=0&amp;BF7,"",Roster!$P$7)</f>
        <v>Block, Iron Hard Skin, Thick Skull, Guard</v>
      </c>
      <c r="AI45" s="483"/>
      <c r="AJ45" s="483"/>
      <c r="AK45" s="483"/>
      <c r="AL45" s="483"/>
      <c r="AM45" s="483"/>
      <c r="AN45" s="483"/>
      <c r="AO45" s="483"/>
      <c r="AP45" s="483"/>
      <c r="AQ45" s="483"/>
      <c r="AR45" s="484"/>
      <c r="AS45" s="161"/>
      <c r="AU45" s="451"/>
      <c r="AV45" s="151"/>
      <c r="AW45" s="482" t="str">
        <f>IF(Roster!$P$8=0&amp;BF8,"",Roster!$P$8)</f>
        <v>Brawler, Breathe Fire, Disturbing Presence, Thick Skull</v>
      </c>
      <c r="AX45" s="483"/>
      <c r="AY45" s="483"/>
      <c r="AZ45" s="483"/>
      <c r="BA45" s="483"/>
      <c r="BB45" s="483"/>
      <c r="BC45" s="483"/>
      <c r="BD45" s="483"/>
      <c r="BE45" s="483"/>
      <c r="BF45" s="483"/>
      <c r="BG45" s="484"/>
      <c r="BH45" s="161"/>
    </row>
    <row r="46" spans="2:60" ht="11.25" customHeight="1" x14ac:dyDescent="0.2">
      <c r="B46" s="150" t="str">
        <f>IF(Roster!$AO$1=0,"",Roster!$AO$1)</f>
        <v>COST</v>
      </c>
      <c r="C46" s="150"/>
      <c r="D46" s="485"/>
      <c r="E46" s="486"/>
      <c r="F46" s="486"/>
      <c r="G46" s="486"/>
      <c r="H46" s="486"/>
      <c r="I46" s="486"/>
      <c r="J46" s="486"/>
      <c r="K46" s="486"/>
      <c r="L46" s="486"/>
      <c r="M46" s="486"/>
      <c r="N46" s="487"/>
      <c r="O46" s="162"/>
      <c r="Q46" s="150" t="str">
        <f>IF(Roster!$AO$1=0,"",Roster!$AO$1)</f>
        <v>COST</v>
      </c>
      <c r="R46" s="150"/>
      <c r="S46" s="485"/>
      <c r="T46" s="486"/>
      <c r="U46" s="486"/>
      <c r="V46" s="486"/>
      <c r="W46" s="486"/>
      <c r="X46" s="486"/>
      <c r="Y46" s="486"/>
      <c r="Z46" s="486"/>
      <c r="AA46" s="486"/>
      <c r="AB46" s="486"/>
      <c r="AC46" s="487"/>
      <c r="AD46" s="162"/>
      <c r="AF46" s="150" t="str">
        <f>IF(Roster!$AO$1=0,"",Roster!$AO$1)</f>
        <v>COST</v>
      </c>
      <c r="AG46" s="150"/>
      <c r="AH46" s="485"/>
      <c r="AI46" s="486"/>
      <c r="AJ46" s="486"/>
      <c r="AK46" s="486"/>
      <c r="AL46" s="486"/>
      <c r="AM46" s="486"/>
      <c r="AN46" s="486"/>
      <c r="AO46" s="486"/>
      <c r="AP46" s="486"/>
      <c r="AQ46" s="486"/>
      <c r="AR46" s="487"/>
      <c r="AS46" s="162"/>
      <c r="AU46" s="150" t="str">
        <f>IF(Roster!$AO$1=0,"",Roster!$AO$1)</f>
        <v>COST</v>
      </c>
      <c r="AV46" s="150"/>
      <c r="AW46" s="485"/>
      <c r="AX46" s="486"/>
      <c r="AY46" s="486"/>
      <c r="AZ46" s="486"/>
      <c r="BA46" s="486"/>
      <c r="BB46" s="486"/>
      <c r="BC46" s="486"/>
      <c r="BD46" s="486"/>
      <c r="BE46" s="486"/>
      <c r="BF46" s="486"/>
      <c r="BG46" s="487"/>
      <c r="BH46" s="162"/>
    </row>
    <row r="47" spans="2:60" ht="34.5" customHeight="1" x14ac:dyDescent="0.2">
      <c r="B47" s="164">
        <f>IF(Roster!$AO$5=0,"",Roster!$AO$5)</f>
        <v>70000</v>
      </c>
      <c r="C47" s="165"/>
      <c r="D47" s="488"/>
      <c r="E47" s="489"/>
      <c r="F47" s="489"/>
      <c r="G47" s="489"/>
      <c r="H47" s="489"/>
      <c r="I47" s="489"/>
      <c r="J47" s="489"/>
      <c r="K47" s="489"/>
      <c r="L47" s="489"/>
      <c r="M47" s="489"/>
      <c r="N47" s="490"/>
      <c r="O47" s="162"/>
      <c r="Q47" s="164">
        <f>IF(Roster!$AO$6=0,"",Roster!$AO$6)</f>
        <v>70000</v>
      </c>
      <c r="R47" s="165"/>
      <c r="S47" s="488"/>
      <c r="T47" s="489"/>
      <c r="U47" s="489"/>
      <c r="V47" s="489"/>
      <c r="W47" s="489"/>
      <c r="X47" s="489"/>
      <c r="Y47" s="489"/>
      <c r="Z47" s="489"/>
      <c r="AA47" s="489"/>
      <c r="AB47" s="489"/>
      <c r="AC47" s="490"/>
      <c r="AD47" s="162"/>
      <c r="AF47" s="164">
        <f>IF(Roster!$AO$7=0,"",Roster!$AO$7)</f>
        <v>90000</v>
      </c>
      <c r="AG47" s="165"/>
      <c r="AH47" s="488"/>
      <c r="AI47" s="489"/>
      <c r="AJ47" s="489"/>
      <c r="AK47" s="489"/>
      <c r="AL47" s="489"/>
      <c r="AM47" s="489"/>
      <c r="AN47" s="489"/>
      <c r="AO47" s="489"/>
      <c r="AP47" s="489"/>
      <c r="AQ47" s="489"/>
      <c r="AR47" s="490"/>
      <c r="AS47" s="162"/>
      <c r="AU47" s="164">
        <f>IF(Roster!$AO$8=0,"",Roster!$AO$8)</f>
        <v>80000</v>
      </c>
      <c r="AV47" s="165"/>
      <c r="AW47" s="488"/>
      <c r="AX47" s="489"/>
      <c r="AY47" s="489"/>
      <c r="AZ47" s="489"/>
      <c r="BA47" s="489"/>
      <c r="BB47" s="489"/>
      <c r="BC47" s="489"/>
      <c r="BD47" s="489"/>
      <c r="BE47" s="489"/>
      <c r="BF47" s="489"/>
      <c r="BG47" s="490"/>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7" t="str">
        <f>IF(Roster!$A$9=0,"","#"&amp;Roster!$A$9)</f>
        <v>#8</v>
      </c>
      <c r="C50" s="146"/>
      <c r="D50" s="146"/>
      <c r="E50" s="146"/>
      <c r="F50" s="146"/>
      <c r="G50" s="146"/>
      <c r="H50" s="146"/>
      <c r="I50" s="146"/>
      <c r="J50" s="146"/>
      <c r="K50" s="146"/>
      <c r="L50" s="146"/>
      <c r="M50" s="146"/>
      <c r="N50" s="146"/>
      <c r="O50" s="146"/>
      <c r="Q50" s="477" t="str">
        <f>IF(Roster!$A$10=0,"","#"&amp;Roster!$A$10)</f>
        <v>#9</v>
      </c>
      <c r="R50" s="146"/>
      <c r="S50" s="146"/>
      <c r="T50" s="146"/>
      <c r="U50" s="146"/>
      <c r="V50" s="146"/>
      <c r="W50" s="146"/>
      <c r="X50" s="146"/>
      <c r="Y50" s="146"/>
      <c r="Z50" s="146"/>
      <c r="AA50" s="146"/>
      <c r="AB50" s="146"/>
      <c r="AC50" s="146"/>
      <c r="AD50" s="146"/>
      <c r="AF50" s="477" t="str">
        <f>IF(Roster!$A$11=0,"","#"&amp;Roster!$A$11)</f>
        <v>#10</v>
      </c>
      <c r="AG50" s="146"/>
      <c r="AH50" s="146"/>
      <c r="AI50" s="146"/>
      <c r="AJ50" s="146"/>
      <c r="AK50" s="146"/>
      <c r="AL50" s="146"/>
      <c r="AM50" s="146"/>
      <c r="AN50" s="146"/>
      <c r="AO50" s="146"/>
      <c r="AP50" s="146"/>
      <c r="AQ50" s="146"/>
      <c r="AR50" s="146"/>
      <c r="AS50" s="146"/>
      <c r="AU50" s="477" t="str">
        <f>IF(Roster!$A$12=0,"","#"&amp;Roster!$A$12)</f>
        <v>#11</v>
      </c>
      <c r="AV50" s="146"/>
      <c r="AW50" s="146"/>
      <c r="AX50" s="146"/>
      <c r="AY50" s="146"/>
      <c r="AZ50" s="146"/>
      <c r="BA50" s="146"/>
      <c r="BB50" s="146"/>
      <c r="BC50" s="146"/>
      <c r="BD50" s="146"/>
      <c r="BE50" s="146"/>
      <c r="BF50" s="146"/>
      <c r="BG50" s="146"/>
      <c r="BH50" s="146"/>
    </row>
    <row r="51" spans="2:60" ht="15" customHeight="1" x14ac:dyDescent="0.25">
      <c r="B51" s="291"/>
      <c r="C51" s="480" t="str">
        <f>IF(Roster!$B$9=0,"",Roster!$B$9)</f>
        <v/>
      </c>
      <c r="D51" s="304"/>
      <c r="E51" s="304"/>
      <c r="F51" s="304"/>
      <c r="G51" s="304"/>
      <c r="H51" s="304"/>
      <c r="I51" s="304"/>
      <c r="J51" s="304"/>
      <c r="K51" s="304"/>
      <c r="L51" s="304"/>
      <c r="M51" s="304"/>
      <c r="N51" s="305"/>
      <c r="O51" s="146"/>
      <c r="Q51" s="291"/>
      <c r="R51" s="480" t="str">
        <f>IF(Roster!$B$10=0,"",Roster!$B$10)</f>
        <v>Splitter</v>
      </c>
      <c r="S51" s="304"/>
      <c r="T51" s="304"/>
      <c r="U51" s="304"/>
      <c r="V51" s="304"/>
      <c r="W51" s="304"/>
      <c r="X51" s="304"/>
      <c r="Y51" s="304"/>
      <c r="Z51" s="304"/>
      <c r="AA51" s="304"/>
      <c r="AB51" s="304"/>
      <c r="AC51" s="305"/>
      <c r="AD51" s="146"/>
      <c r="AF51" s="291"/>
      <c r="AG51" s="480" t="str">
        <f>IF(Roster!$B$11=0,"",Roster!$B$11)</f>
        <v>Skorr</v>
      </c>
      <c r="AH51" s="304"/>
      <c r="AI51" s="304"/>
      <c r="AJ51" s="304"/>
      <c r="AK51" s="304"/>
      <c r="AL51" s="304"/>
      <c r="AM51" s="304"/>
      <c r="AN51" s="304"/>
      <c r="AO51" s="304"/>
      <c r="AP51" s="304"/>
      <c r="AQ51" s="304"/>
      <c r="AR51" s="305"/>
      <c r="AS51" s="146"/>
      <c r="AU51" s="291"/>
      <c r="AV51" s="480" t="str">
        <f>IF(Roster!$B$12=0,"",Roster!$B$12)</f>
        <v>Joint</v>
      </c>
      <c r="AW51" s="304"/>
      <c r="AX51" s="304"/>
      <c r="AY51" s="304"/>
      <c r="AZ51" s="304"/>
      <c r="BA51" s="304"/>
      <c r="BB51" s="304"/>
      <c r="BC51" s="304"/>
      <c r="BD51" s="304"/>
      <c r="BE51" s="304"/>
      <c r="BF51" s="304"/>
      <c r="BG51" s="305"/>
      <c r="BH51" s="146"/>
    </row>
    <row r="52" spans="2:60" ht="11.25" customHeight="1" x14ac:dyDescent="0.2">
      <c r="B52" s="451"/>
      <c r="C52" s="481" t="str">
        <f>IF(Roster!$D$9=0,"",Roster!$D$9)</f>
        <v/>
      </c>
      <c r="D52" s="304"/>
      <c r="E52" s="304"/>
      <c r="F52" s="304"/>
      <c r="G52" s="304"/>
      <c r="H52" s="304"/>
      <c r="I52" s="304"/>
      <c r="J52" s="304"/>
      <c r="K52" s="304"/>
      <c r="L52" s="304"/>
      <c r="M52" s="304"/>
      <c r="N52" s="305"/>
      <c r="O52" s="147"/>
      <c r="Q52" s="451"/>
      <c r="R52" s="481" t="str">
        <f>IF(Roster!$D$10=0,"",Roster!$D$10)</f>
        <v>Hobgoblin Lineman</v>
      </c>
      <c r="S52" s="304"/>
      <c r="T52" s="304"/>
      <c r="U52" s="304"/>
      <c r="V52" s="304"/>
      <c r="W52" s="304"/>
      <c r="X52" s="304"/>
      <c r="Y52" s="304"/>
      <c r="Z52" s="304"/>
      <c r="AA52" s="304"/>
      <c r="AB52" s="304"/>
      <c r="AC52" s="305"/>
      <c r="AD52" s="147"/>
      <c r="AF52" s="451"/>
      <c r="AG52" s="481" t="str">
        <f>IF(Roster!$D$11=0,"",Roster!$D$11)</f>
        <v>Hobgoblin Lineman</v>
      </c>
      <c r="AH52" s="304"/>
      <c r="AI52" s="304"/>
      <c r="AJ52" s="304"/>
      <c r="AK52" s="304"/>
      <c r="AL52" s="304"/>
      <c r="AM52" s="304"/>
      <c r="AN52" s="304"/>
      <c r="AO52" s="304"/>
      <c r="AP52" s="304"/>
      <c r="AQ52" s="304"/>
      <c r="AR52" s="305"/>
      <c r="AS52" s="147"/>
      <c r="AU52" s="451"/>
      <c r="AV52" s="481" t="str">
        <f>IF(Roster!$D$12=0,"",Roster!$D$12)</f>
        <v>Hobgoblin Lineman</v>
      </c>
      <c r="AW52" s="304"/>
      <c r="AX52" s="304"/>
      <c r="AY52" s="304"/>
      <c r="AZ52" s="304"/>
      <c r="BA52" s="304"/>
      <c r="BB52" s="304"/>
      <c r="BC52" s="304"/>
      <c r="BD52" s="304"/>
      <c r="BE52" s="304"/>
      <c r="BF52" s="304"/>
      <c r="BG52" s="305"/>
      <c r="BH52" s="147"/>
    </row>
    <row r="53" spans="2:60" ht="11.25" customHeight="1" x14ac:dyDescent="0.2">
      <c r="B53" s="150" t="str">
        <f>IF(Roster!$K$1=0,"",Roster!$K$1)</f>
        <v>MA</v>
      </c>
      <c r="C53" s="149"/>
      <c r="D53" s="492"/>
      <c r="E53" s="492"/>
      <c r="F53" s="492"/>
      <c r="G53" s="492"/>
      <c r="H53" s="492"/>
      <c r="I53" s="492"/>
      <c r="J53" s="492"/>
      <c r="K53" s="492"/>
      <c r="L53" s="492"/>
      <c r="M53" s="492"/>
      <c r="N53" s="492"/>
      <c r="O53" s="146"/>
      <c r="Q53" s="150" t="str">
        <f>IF(Roster!$K$1=0,"",Roster!$K$1)</f>
        <v>MA</v>
      </c>
      <c r="R53" s="149"/>
      <c r="S53" s="492"/>
      <c r="T53" s="492"/>
      <c r="U53" s="492"/>
      <c r="V53" s="492"/>
      <c r="W53" s="492"/>
      <c r="X53" s="492"/>
      <c r="Y53" s="492"/>
      <c r="Z53" s="492"/>
      <c r="AA53" s="492"/>
      <c r="AB53" s="492"/>
      <c r="AC53" s="492"/>
      <c r="AD53" s="146"/>
      <c r="AF53" s="150" t="str">
        <f>IF(Roster!$K$1=0,"",Roster!$K$1)</f>
        <v>MA</v>
      </c>
      <c r="AG53" s="149"/>
      <c r="AH53" s="492"/>
      <c r="AI53" s="492"/>
      <c r="AJ53" s="492"/>
      <c r="AK53" s="492"/>
      <c r="AL53" s="492"/>
      <c r="AM53" s="492"/>
      <c r="AN53" s="492"/>
      <c r="AO53" s="492"/>
      <c r="AP53" s="492"/>
      <c r="AQ53" s="492"/>
      <c r="AR53" s="492"/>
      <c r="AS53" s="146"/>
      <c r="AU53" s="150" t="str">
        <f>IF(Roster!$K$1=0,"",Roster!$K$1)</f>
        <v>MA</v>
      </c>
      <c r="AV53" s="149"/>
      <c r="AW53" s="492"/>
      <c r="AX53" s="492"/>
      <c r="AY53" s="492"/>
      <c r="AZ53" s="492"/>
      <c r="BA53" s="492"/>
      <c r="BB53" s="492"/>
      <c r="BC53" s="492"/>
      <c r="BD53" s="492"/>
      <c r="BE53" s="492"/>
      <c r="BF53" s="492"/>
      <c r="BG53" s="492"/>
      <c r="BH53" s="146"/>
    </row>
    <row r="54" spans="2:60" ht="37.5" customHeight="1" x14ac:dyDescent="0.2">
      <c r="B54" s="152" t="str">
        <f>IF(Roster!$K$9=0,"",Roster!$K$9)</f>
        <v/>
      </c>
      <c r="C54" s="149"/>
      <c r="D54" s="492"/>
      <c r="E54" s="492"/>
      <c r="F54" s="492"/>
      <c r="G54" s="492"/>
      <c r="H54" s="492"/>
      <c r="I54" s="492"/>
      <c r="J54" s="492"/>
      <c r="K54" s="492"/>
      <c r="L54" s="492"/>
      <c r="M54" s="492"/>
      <c r="N54" s="492"/>
      <c r="O54" s="146"/>
      <c r="Q54" s="152">
        <f>IF(Roster!$K$10=0,"",Roster!$K$10)</f>
        <v>6</v>
      </c>
      <c r="R54" s="149"/>
      <c r="S54" s="492"/>
      <c r="T54" s="492"/>
      <c r="U54" s="492"/>
      <c r="V54" s="492"/>
      <c r="W54" s="492"/>
      <c r="X54" s="492"/>
      <c r="Y54" s="492"/>
      <c r="Z54" s="492"/>
      <c r="AA54" s="492"/>
      <c r="AB54" s="492"/>
      <c r="AC54" s="492"/>
      <c r="AD54" s="146"/>
      <c r="AF54" s="152">
        <f>IF(Roster!$K$11=0,"",Roster!$K$11)</f>
        <v>6</v>
      </c>
      <c r="AG54" s="149"/>
      <c r="AH54" s="492"/>
      <c r="AI54" s="492"/>
      <c r="AJ54" s="492"/>
      <c r="AK54" s="492"/>
      <c r="AL54" s="492"/>
      <c r="AM54" s="492"/>
      <c r="AN54" s="492"/>
      <c r="AO54" s="492"/>
      <c r="AP54" s="492"/>
      <c r="AQ54" s="492"/>
      <c r="AR54" s="492"/>
      <c r="AS54" s="146"/>
      <c r="AU54" s="152">
        <f>IF(Roster!$K$12=0,"",Roster!$K$12)</f>
        <v>6</v>
      </c>
      <c r="AV54" s="149"/>
      <c r="AW54" s="492"/>
      <c r="AX54" s="492"/>
      <c r="AY54" s="492"/>
      <c r="AZ54" s="492"/>
      <c r="BA54" s="492"/>
      <c r="BB54" s="492"/>
      <c r="BC54" s="492"/>
      <c r="BD54" s="492"/>
      <c r="BE54" s="492"/>
      <c r="BF54" s="492"/>
      <c r="BG54" s="492"/>
      <c r="BH54" s="146"/>
    </row>
    <row r="55" spans="2:60" ht="11.25" customHeight="1" x14ac:dyDescent="0.2">
      <c r="B55" s="150" t="str">
        <f>IF(Roster!$L$1=0,"",Roster!$L$1)</f>
        <v>ST</v>
      </c>
      <c r="C55" s="149"/>
      <c r="D55" s="492"/>
      <c r="E55" s="492"/>
      <c r="F55" s="492"/>
      <c r="G55" s="492"/>
      <c r="H55" s="492"/>
      <c r="I55" s="492"/>
      <c r="J55" s="492"/>
      <c r="K55" s="492"/>
      <c r="L55" s="492"/>
      <c r="M55" s="492"/>
      <c r="N55" s="492"/>
      <c r="O55" s="146"/>
      <c r="Q55" s="150" t="str">
        <f>IF(Roster!$L$1=0,"",Roster!$L$1)</f>
        <v>ST</v>
      </c>
      <c r="R55" s="149"/>
      <c r="S55" s="492"/>
      <c r="T55" s="492"/>
      <c r="U55" s="492"/>
      <c r="V55" s="492"/>
      <c r="W55" s="492"/>
      <c r="X55" s="492"/>
      <c r="Y55" s="492"/>
      <c r="Z55" s="492"/>
      <c r="AA55" s="492"/>
      <c r="AB55" s="492"/>
      <c r="AC55" s="492"/>
      <c r="AD55" s="146"/>
      <c r="AF55" s="150" t="str">
        <f>IF(Roster!$L$1=0,"",Roster!$L$1)</f>
        <v>ST</v>
      </c>
      <c r="AG55" s="149"/>
      <c r="AH55" s="492"/>
      <c r="AI55" s="492"/>
      <c r="AJ55" s="492"/>
      <c r="AK55" s="492"/>
      <c r="AL55" s="492"/>
      <c r="AM55" s="492"/>
      <c r="AN55" s="492"/>
      <c r="AO55" s="492"/>
      <c r="AP55" s="492"/>
      <c r="AQ55" s="492"/>
      <c r="AR55" s="492"/>
      <c r="AS55" s="146"/>
      <c r="AU55" s="150" t="str">
        <f>IF(Roster!$L$1=0,"",Roster!$L$1)</f>
        <v>ST</v>
      </c>
      <c r="AV55" s="149"/>
      <c r="AW55" s="492"/>
      <c r="AX55" s="492"/>
      <c r="AY55" s="492"/>
      <c r="AZ55" s="492"/>
      <c r="BA55" s="492"/>
      <c r="BB55" s="492"/>
      <c r="BC55" s="492"/>
      <c r="BD55" s="492"/>
      <c r="BE55" s="492"/>
      <c r="BF55" s="492"/>
      <c r="BG55" s="492"/>
      <c r="BH55" s="146"/>
    </row>
    <row r="56" spans="2:60" ht="37.5" customHeight="1" x14ac:dyDescent="0.2">
      <c r="B56" s="152" t="str">
        <f>IF(Roster!$L$9=0,"",Roster!$L$9)</f>
        <v/>
      </c>
      <c r="C56" s="149"/>
      <c r="D56" s="492"/>
      <c r="E56" s="492"/>
      <c r="F56" s="492"/>
      <c r="G56" s="492"/>
      <c r="H56" s="492"/>
      <c r="I56" s="492"/>
      <c r="J56" s="492"/>
      <c r="K56" s="492"/>
      <c r="L56" s="492"/>
      <c r="M56" s="492"/>
      <c r="N56" s="492"/>
      <c r="O56" s="146"/>
      <c r="Q56" s="152">
        <f>IF(Roster!$L$10=0,"",Roster!$L$10)</f>
        <v>3</v>
      </c>
      <c r="R56" s="149"/>
      <c r="S56" s="492"/>
      <c r="T56" s="492"/>
      <c r="U56" s="492"/>
      <c r="V56" s="492"/>
      <c r="W56" s="492"/>
      <c r="X56" s="492"/>
      <c r="Y56" s="492"/>
      <c r="Z56" s="492"/>
      <c r="AA56" s="492"/>
      <c r="AB56" s="492"/>
      <c r="AC56" s="492"/>
      <c r="AD56" s="146"/>
      <c r="AF56" s="152">
        <f>IF(Roster!$L$11=0,"",Roster!$L$11)</f>
        <v>3</v>
      </c>
      <c r="AG56" s="149"/>
      <c r="AH56" s="492"/>
      <c r="AI56" s="492"/>
      <c r="AJ56" s="492"/>
      <c r="AK56" s="492"/>
      <c r="AL56" s="492"/>
      <c r="AM56" s="492"/>
      <c r="AN56" s="492"/>
      <c r="AO56" s="492"/>
      <c r="AP56" s="492"/>
      <c r="AQ56" s="492"/>
      <c r="AR56" s="492"/>
      <c r="AS56" s="146"/>
      <c r="AU56" s="152">
        <f>IF(Roster!$L$12=0,"",Roster!$L$12)</f>
        <v>3</v>
      </c>
      <c r="AV56" s="149"/>
      <c r="AW56" s="492"/>
      <c r="AX56" s="492"/>
      <c r="AY56" s="492"/>
      <c r="AZ56" s="492"/>
      <c r="BA56" s="492"/>
      <c r="BB56" s="492"/>
      <c r="BC56" s="492"/>
      <c r="BD56" s="492"/>
      <c r="BE56" s="492"/>
      <c r="BF56" s="492"/>
      <c r="BG56" s="492"/>
      <c r="BH56" s="146"/>
    </row>
    <row r="57" spans="2:60" ht="11.25" customHeight="1" x14ac:dyDescent="0.2">
      <c r="B57" s="150" t="str">
        <f>IF(Roster!$M$1=0,"",Roster!$M$1)</f>
        <v>AG</v>
      </c>
      <c r="C57" s="149"/>
      <c r="D57" s="492"/>
      <c r="E57" s="492"/>
      <c r="F57" s="492"/>
      <c r="G57" s="492"/>
      <c r="H57" s="492"/>
      <c r="I57" s="492"/>
      <c r="J57" s="492"/>
      <c r="K57" s="492"/>
      <c r="L57" s="492"/>
      <c r="M57" s="492"/>
      <c r="N57" s="492"/>
      <c r="O57" s="146"/>
      <c r="Q57" s="150" t="str">
        <f>IF(Roster!$M$1=0,"",Roster!$M$1)</f>
        <v>AG</v>
      </c>
      <c r="R57" s="149"/>
      <c r="S57" s="492"/>
      <c r="T57" s="492"/>
      <c r="U57" s="492"/>
      <c r="V57" s="492"/>
      <c r="W57" s="492"/>
      <c r="X57" s="492"/>
      <c r="Y57" s="492"/>
      <c r="Z57" s="492"/>
      <c r="AA57" s="492"/>
      <c r="AB57" s="492"/>
      <c r="AC57" s="492"/>
      <c r="AD57" s="146"/>
      <c r="AF57" s="150" t="str">
        <f>IF(Roster!$M$1=0,"",Roster!$M$1)</f>
        <v>AG</v>
      </c>
      <c r="AG57" s="149"/>
      <c r="AH57" s="492"/>
      <c r="AI57" s="492"/>
      <c r="AJ57" s="492"/>
      <c r="AK57" s="492"/>
      <c r="AL57" s="492"/>
      <c r="AM57" s="492"/>
      <c r="AN57" s="492"/>
      <c r="AO57" s="492"/>
      <c r="AP57" s="492"/>
      <c r="AQ57" s="492"/>
      <c r="AR57" s="492"/>
      <c r="AS57" s="146"/>
      <c r="AU57" s="150" t="str">
        <f>IF(Roster!$M$1=0,"",Roster!$M$1)</f>
        <v>AG</v>
      </c>
      <c r="AV57" s="149"/>
      <c r="AW57" s="492"/>
      <c r="AX57" s="492"/>
      <c r="AY57" s="492"/>
      <c r="AZ57" s="492"/>
      <c r="BA57" s="492"/>
      <c r="BB57" s="492"/>
      <c r="BC57" s="492"/>
      <c r="BD57" s="492"/>
      <c r="BE57" s="492"/>
      <c r="BF57" s="492"/>
      <c r="BG57" s="492"/>
      <c r="BH57" s="146"/>
    </row>
    <row r="58" spans="2:60" ht="37.5" customHeight="1" x14ac:dyDescent="0.2">
      <c r="B58" s="152" t="str">
        <f>IF(Roster!$M$9=0&amp;"+","",Roster!$M$9)</f>
        <v/>
      </c>
      <c r="C58" s="149"/>
      <c r="D58" s="492"/>
      <c r="E58" s="492"/>
      <c r="F58" s="492"/>
      <c r="G58" s="492"/>
      <c r="H58" s="492"/>
      <c r="I58" s="492"/>
      <c r="J58" s="492"/>
      <c r="K58" s="492"/>
      <c r="L58" s="492"/>
      <c r="M58" s="492"/>
      <c r="N58" s="492"/>
      <c r="O58" s="146"/>
      <c r="Q58" s="152" t="str">
        <f>IF(Roster!$M$10=0&amp;"+","",Roster!$M$10)</f>
        <v>3+</v>
      </c>
      <c r="R58" s="149"/>
      <c r="S58" s="492"/>
      <c r="T58" s="492"/>
      <c r="U58" s="492"/>
      <c r="V58" s="492"/>
      <c r="W58" s="492"/>
      <c r="X58" s="492"/>
      <c r="Y58" s="492"/>
      <c r="Z58" s="492"/>
      <c r="AA58" s="492"/>
      <c r="AB58" s="492"/>
      <c r="AC58" s="492"/>
      <c r="AD58" s="146"/>
      <c r="AF58" s="152" t="str">
        <f>IF(Roster!$M$11=0&amp;"+","",Roster!$M$11)</f>
        <v>3+</v>
      </c>
      <c r="AG58" s="149"/>
      <c r="AH58" s="492"/>
      <c r="AI58" s="492"/>
      <c r="AJ58" s="492"/>
      <c r="AK58" s="492"/>
      <c r="AL58" s="492"/>
      <c r="AM58" s="492"/>
      <c r="AN58" s="492"/>
      <c r="AO58" s="492"/>
      <c r="AP58" s="492"/>
      <c r="AQ58" s="492"/>
      <c r="AR58" s="492"/>
      <c r="AS58" s="146"/>
      <c r="AU58" s="152" t="str">
        <f>IF(Roster!$M$12=0&amp;"+","",Roster!$M$12)</f>
        <v>3+</v>
      </c>
      <c r="AV58" s="149"/>
      <c r="AW58" s="492"/>
      <c r="AX58" s="492"/>
      <c r="AY58" s="492"/>
      <c r="AZ58" s="492"/>
      <c r="BA58" s="492"/>
      <c r="BB58" s="492"/>
      <c r="BC58" s="492"/>
      <c r="BD58" s="492"/>
      <c r="BE58" s="492"/>
      <c r="BF58" s="492"/>
      <c r="BG58" s="492"/>
      <c r="BH58" s="146"/>
    </row>
    <row r="59" spans="2:60" ht="11.25" customHeight="1" x14ac:dyDescent="0.2">
      <c r="B59" s="150" t="str">
        <f>IF(Roster!$N$1=0,"",Roster!$N$1)</f>
        <v>PA</v>
      </c>
      <c r="C59" s="149"/>
      <c r="D59" s="492"/>
      <c r="E59" s="492"/>
      <c r="F59" s="492"/>
      <c r="G59" s="492"/>
      <c r="H59" s="492"/>
      <c r="I59" s="492"/>
      <c r="J59" s="492"/>
      <c r="K59" s="492"/>
      <c r="L59" s="492"/>
      <c r="M59" s="492"/>
      <c r="N59" s="492"/>
      <c r="O59" s="155"/>
      <c r="Q59" s="150" t="str">
        <f>IF(Roster!$N$1=0,"",Roster!$N$1)</f>
        <v>PA</v>
      </c>
      <c r="R59" s="149"/>
      <c r="S59" s="492"/>
      <c r="T59" s="492"/>
      <c r="U59" s="492"/>
      <c r="V59" s="492"/>
      <c r="W59" s="492"/>
      <c r="X59" s="492"/>
      <c r="Y59" s="492"/>
      <c r="Z59" s="492"/>
      <c r="AA59" s="492"/>
      <c r="AB59" s="492"/>
      <c r="AC59" s="492"/>
      <c r="AD59" s="155"/>
      <c r="AF59" s="150" t="str">
        <f>IF(Roster!$N$1=0,"",Roster!$N$1)</f>
        <v>PA</v>
      </c>
      <c r="AG59" s="149"/>
      <c r="AH59" s="492"/>
      <c r="AI59" s="492"/>
      <c r="AJ59" s="492"/>
      <c r="AK59" s="492"/>
      <c r="AL59" s="492"/>
      <c r="AM59" s="492"/>
      <c r="AN59" s="492"/>
      <c r="AO59" s="492"/>
      <c r="AP59" s="492"/>
      <c r="AQ59" s="492"/>
      <c r="AR59" s="492"/>
      <c r="AS59" s="155"/>
      <c r="AU59" s="150" t="str">
        <f>IF(Roster!$N$1=0,"",Roster!$N$1)</f>
        <v>PA</v>
      </c>
      <c r="AV59" s="149"/>
      <c r="AW59" s="492"/>
      <c r="AX59" s="492"/>
      <c r="AY59" s="492"/>
      <c r="AZ59" s="492"/>
      <c r="BA59" s="492"/>
      <c r="BB59" s="492"/>
      <c r="BC59" s="492"/>
      <c r="BD59" s="492"/>
      <c r="BE59" s="492"/>
      <c r="BF59" s="492"/>
      <c r="BG59" s="492"/>
      <c r="BH59" s="155"/>
    </row>
    <row r="60" spans="2:60" ht="6" customHeight="1" x14ac:dyDescent="0.2">
      <c r="B60" s="474" t="str">
        <f>IF(Roster!$N$9=0&amp;"+","",Roster!$N$9)</f>
        <v/>
      </c>
      <c r="C60" s="149"/>
      <c r="D60" s="492"/>
      <c r="E60" s="492"/>
      <c r="F60" s="492"/>
      <c r="G60" s="492"/>
      <c r="H60" s="492"/>
      <c r="I60" s="492"/>
      <c r="J60" s="492"/>
      <c r="K60" s="492"/>
      <c r="L60" s="492"/>
      <c r="M60" s="492"/>
      <c r="N60" s="492"/>
      <c r="O60" s="157"/>
      <c r="Q60" s="474" t="str">
        <f>IF(Roster!$N$10=0&amp;"+","",Roster!$N$10)</f>
        <v>4+</v>
      </c>
      <c r="R60" s="149"/>
      <c r="S60" s="492"/>
      <c r="T60" s="492"/>
      <c r="U60" s="492"/>
      <c r="V60" s="492"/>
      <c r="W60" s="492"/>
      <c r="X60" s="492"/>
      <c r="Y60" s="492"/>
      <c r="Z60" s="492"/>
      <c r="AA60" s="492"/>
      <c r="AB60" s="492"/>
      <c r="AC60" s="492"/>
      <c r="AD60" s="157"/>
      <c r="AF60" s="474" t="str">
        <f>IF(Roster!$N$11=0&amp;"+","",Roster!$N$11)</f>
        <v>4+</v>
      </c>
      <c r="AG60" s="149"/>
      <c r="AH60" s="492"/>
      <c r="AI60" s="492"/>
      <c r="AJ60" s="492"/>
      <c r="AK60" s="492"/>
      <c r="AL60" s="492"/>
      <c r="AM60" s="492"/>
      <c r="AN60" s="492"/>
      <c r="AO60" s="492"/>
      <c r="AP60" s="492"/>
      <c r="AQ60" s="492"/>
      <c r="AR60" s="492"/>
      <c r="AS60" s="157"/>
      <c r="AU60" s="474" t="str">
        <f>IF(Roster!$N$12=0&amp;"+","",Roster!$N$12)</f>
        <v>4+</v>
      </c>
      <c r="AV60" s="149"/>
      <c r="AW60" s="492"/>
      <c r="AX60" s="492"/>
      <c r="AY60" s="492"/>
      <c r="AZ60" s="492"/>
      <c r="BA60" s="492"/>
      <c r="BB60" s="492"/>
      <c r="BC60" s="492"/>
      <c r="BD60" s="492"/>
      <c r="BE60" s="492"/>
      <c r="BF60" s="492"/>
      <c r="BG60" s="492"/>
      <c r="BH60" s="157"/>
    </row>
    <row r="61" spans="2:60" ht="4.5" customHeight="1" x14ac:dyDescent="0.2">
      <c r="B61" s="291"/>
      <c r="C61" s="149"/>
      <c r="D61" s="146"/>
      <c r="E61" s="156"/>
      <c r="F61" s="146"/>
      <c r="G61" s="156"/>
      <c r="H61" s="146"/>
      <c r="I61" s="156"/>
      <c r="J61" s="146"/>
      <c r="K61" s="156"/>
      <c r="L61" s="146"/>
      <c r="M61" s="156"/>
      <c r="N61" s="146"/>
      <c r="O61" s="157"/>
      <c r="Q61" s="291"/>
      <c r="R61" s="149"/>
      <c r="S61" s="146"/>
      <c r="T61" s="156"/>
      <c r="U61" s="146"/>
      <c r="V61" s="156"/>
      <c r="W61" s="146"/>
      <c r="X61" s="156"/>
      <c r="Y61" s="146"/>
      <c r="Z61" s="156"/>
      <c r="AA61" s="146"/>
      <c r="AB61" s="156"/>
      <c r="AC61" s="146"/>
      <c r="AD61" s="157"/>
      <c r="AF61" s="291"/>
      <c r="AG61" s="149"/>
      <c r="AH61" s="146"/>
      <c r="AI61" s="156"/>
      <c r="AJ61" s="146"/>
      <c r="AK61" s="156"/>
      <c r="AL61" s="146"/>
      <c r="AM61" s="156"/>
      <c r="AN61" s="146"/>
      <c r="AO61" s="156"/>
      <c r="AP61" s="146"/>
      <c r="AQ61" s="156"/>
      <c r="AR61" s="146"/>
      <c r="AS61" s="157"/>
      <c r="AU61" s="291"/>
      <c r="AV61" s="149"/>
      <c r="AW61" s="146"/>
      <c r="AX61" s="156"/>
      <c r="AY61" s="146"/>
      <c r="AZ61" s="156"/>
      <c r="BA61" s="146"/>
      <c r="BB61" s="156"/>
      <c r="BC61" s="146"/>
      <c r="BD61" s="156"/>
      <c r="BE61" s="146"/>
      <c r="BF61" s="156"/>
      <c r="BG61" s="146"/>
      <c r="BH61" s="157"/>
    </row>
    <row r="62" spans="2:60" ht="11.25" customHeight="1" x14ac:dyDescent="0.2">
      <c r="B62" s="291"/>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1"/>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1"/>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1"/>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1"/>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1"/>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1"/>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1"/>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1"/>
      <c r="C64" s="151"/>
      <c r="D64" s="160"/>
      <c r="E64" s="151"/>
      <c r="F64" s="160"/>
      <c r="G64" s="151"/>
      <c r="H64" s="160"/>
      <c r="I64" s="151"/>
      <c r="J64" s="160"/>
      <c r="K64" s="151"/>
      <c r="L64" s="160"/>
      <c r="M64" s="151"/>
      <c r="N64" s="160"/>
      <c r="O64" s="157"/>
      <c r="Q64" s="451"/>
      <c r="R64" s="151"/>
      <c r="S64" s="160"/>
      <c r="T64" s="151"/>
      <c r="U64" s="160"/>
      <c r="V64" s="151"/>
      <c r="W64" s="160"/>
      <c r="X64" s="151"/>
      <c r="Y64" s="160"/>
      <c r="Z64" s="151"/>
      <c r="AA64" s="160"/>
      <c r="AB64" s="151"/>
      <c r="AC64" s="160"/>
      <c r="AD64" s="157"/>
      <c r="AF64" s="451"/>
      <c r="AG64" s="151"/>
      <c r="AH64" s="160"/>
      <c r="AI64" s="151"/>
      <c r="AJ64" s="160"/>
      <c r="AK64" s="151"/>
      <c r="AL64" s="160"/>
      <c r="AM64" s="151"/>
      <c r="AN64" s="160"/>
      <c r="AO64" s="151"/>
      <c r="AP64" s="160"/>
      <c r="AQ64" s="151"/>
      <c r="AR64" s="160"/>
      <c r="AS64" s="157"/>
      <c r="AU64" s="451"/>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4" t="str">
        <f>IF(Roster!$O$9=0&amp;"+","",Roster!$O$9)</f>
        <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74" t="str">
        <f>IF(Roster!$O$10=0&amp;"+","",Roster!$O$10)</f>
        <v>8+</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74" t="str">
        <f>IF(Roster!$O$11=0&amp;"+","",Roster!$O$11)</f>
        <v>8+</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74" t="str">
        <f>IF(Roster!$O$12=0&amp;"+","",Roster!$O$12)</f>
        <v>8+</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1"/>
      <c r="C67" s="151"/>
      <c r="D67" s="151"/>
      <c r="E67" s="151"/>
      <c r="F67" s="151"/>
      <c r="G67" s="151"/>
      <c r="H67" s="151"/>
      <c r="I67" s="151"/>
      <c r="J67" s="151"/>
      <c r="K67" s="151"/>
      <c r="L67" s="151"/>
      <c r="M67" s="151"/>
      <c r="N67" s="157"/>
      <c r="O67" s="161"/>
      <c r="Q67" s="291"/>
      <c r="R67" s="151"/>
      <c r="S67" s="151"/>
      <c r="T67" s="151"/>
      <c r="U67" s="151"/>
      <c r="V67" s="151"/>
      <c r="W67" s="151"/>
      <c r="X67" s="151"/>
      <c r="Y67" s="151"/>
      <c r="Z67" s="151"/>
      <c r="AA67" s="151"/>
      <c r="AB67" s="151"/>
      <c r="AC67" s="157"/>
      <c r="AD67" s="161"/>
      <c r="AF67" s="291"/>
      <c r="AG67" s="151"/>
      <c r="AH67" s="151"/>
      <c r="AI67" s="151"/>
      <c r="AJ67" s="151"/>
      <c r="AK67" s="151"/>
      <c r="AL67" s="151"/>
      <c r="AM67" s="151"/>
      <c r="AN67" s="151"/>
      <c r="AO67" s="151"/>
      <c r="AP67" s="151"/>
      <c r="AQ67" s="151"/>
      <c r="AR67" s="157"/>
      <c r="AS67" s="161"/>
      <c r="AU67" s="291"/>
      <c r="AV67" s="151"/>
      <c r="AW67" s="151"/>
      <c r="AX67" s="151"/>
      <c r="AY67" s="151"/>
      <c r="AZ67" s="151"/>
      <c r="BA67" s="151"/>
      <c r="BB67" s="151"/>
      <c r="BC67" s="151"/>
      <c r="BD67" s="151"/>
      <c r="BE67" s="151"/>
      <c r="BF67" s="151"/>
      <c r="BG67" s="157"/>
      <c r="BH67" s="161"/>
    </row>
    <row r="68" spans="2:60" ht="11.25" customHeight="1" x14ac:dyDescent="0.2">
      <c r="B68" s="291"/>
      <c r="C68" s="151"/>
      <c r="D68" s="475" t="str">
        <f>IF(Roster!$K$25="Italiano","ABILITÀ &amp; TRATTI",(IF(Roster!$K$25="Español","HABILIDADES Y RASGOS","SKILLS &amp; TRAITS")))</f>
        <v>SKILLS &amp; TRAITS</v>
      </c>
      <c r="E68" s="304"/>
      <c r="F68" s="304"/>
      <c r="G68" s="304"/>
      <c r="H68" s="304"/>
      <c r="I68" s="304"/>
      <c r="J68" s="304"/>
      <c r="K68" s="304"/>
      <c r="L68" s="304"/>
      <c r="M68" s="304"/>
      <c r="N68" s="305"/>
      <c r="O68" s="161"/>
      <c r="Q68" s="291"/>
      <c r="R68" s="151"/>
      <c r="S68" s="475" t="str">
        <f>IF(Roster!$K$25="Italiano","ABILITÀ &amp; TRATTI",(IF(Roster!$K$25="Español","HABILIDADES Y RASGOS","SKILLS &amp; TRAITS")))</f>
        <v>SKILLS &amp; TRAITS</v>
      </c>
      <c r="T68" s="304"/>
      <c r="U68" s="304"/>
      <c r="V68" s="304"/>
      <c r="W68" s="304"/>
      <c r="X68" s="304"/>
      <c r="Y68" s="304"/>
      <c r="Z68" s="304"/>
      <c r="AA68" s="304"/>
      <c r="AB68" s="304"/>
      <c r="AC68" s="305"/>
      <c r="AD68" s="161"/>
      <c r="AF68" s="291"/>
      <c r="AG68" s="151"/>
      <c r="AH68" s="475" t="str">
        <f>IF(Roster!$K$25="Italiano","ABILITÀ &amp; TRATTI",(IF(Roster!$K$25="Español","HABILIDADES Y RASGOS","SKILLS &amp; TRAITS")))</f>
        <v>SKILLS &amp; TRAITS</v>
      </c>
      <c r="AI68" s="304"/>
      <c r="AJ68" s="304"/>
      <c r="AK68" s="304"/>
      <c r="AL68" s="304"/>
      <c r="AM68" s="304"/>
      <c r="AN68" s="304"/>
      <c r="AO68" s="304"/>
      <c r="AP68" s="304"/>
      <c r="AQ68" s="304"/>
      <c r="AR68" s="305"/>
      <c r="AS68" s="161"/>
      <c r="AU68" s="291"/>
      <c r="AV68" s="151"/>
      <c r="AW68" s="475" t="str">
        <f>IF(Roster!$K$25="Italiano","ABILITÀ &amp; TRATTI",(IF(Roster!$K$25="Español","HABILIDADES Y RASGOS","SKILLS &amp; TRAITS")))</f>
        <v>SKILLS &amp; TRAITS</v>
      </c>
      <c r="AX68" s="304"/>
      <c r="AY68" s="304"/>
      <c r="AZ68" s="304"/>
      <c r="BA68" s="304"/>
      <c r="BB68" s="304"/>
      <c r="BC68" s="304"/>
      <c r="BD68" s="304"/>
      <c r="BE68" s="304"/>
      <c r="BF68" s="304"/>
      <c r="BG68" s="305"/>
      <c r="BH68" s="161"/>
    </row>
    <row r="69" spans="2:60" ht="6.75" customHeight="1" x14ac:dyDescent="0.2">
      <c r="B69" s="451"/>
      <c r="C69" s="151"/>
      <c r="D69" s="482" t="str">
        <f>IF(Roster!$P$9=0&amp;BF9,"",Roster!$P$9)</f>
        <v/>
      </c>
      <c r="E69" s="483"/>
      <c r="F69" s="483"/>
      <c r="G69" s="483"/>
      <c r="H69" s="483"/>
      <c r="I69" s="483"/>
      <c r="J69" s="483"/>
      <c r="K69" s="483"/>
      <c r="L69" s="483"/>
      <c r="M69" s="483"/>
      <c r="N69" s="484"/>
      <c r="O69" s="161"/>
      <c r="Q69" s="451"/>
      <c r="R69" s="151"/>
      <c r="S69" s="482" t="str">
        <f>IF(Roster!$P$10=0&amp;BF10,"",Roster!$P$10)</f>
        <v xml:space="preserve"> </v>
      </c>
      <c r="T69" s="483"/>
      <c r="U69" s="483"/>
      <c r="V69" s="483"/>
      <c r="W69" s="483"/>
      <c r="X69" s="483"/>
      <c r="Y69" s="483"/>
      <c r="Z69" s="483"/>
      <c r="AA69" s="483"/>
      <c r="AB69" s="483"/>
      <c r="AC69" s="484"/>
      <c r="AD69" s="161"/>
      <c r="AF69" s="451"/>
      <c r="AG69" s="151"/>
      <c r="AH69" s="482" t="str">
        <f>IF(Roster!$P$11=0&amp;BF11,"",Roster!$P$11)</f>
        <v xml:space="preserve"> </v>
      </c>
      <c r="AI69" s="483"/>
      <c r="AJ69" s="483"/>
      <c r="AK69" s="483"/>
      <c r="AL69" s="483"/>
      <c r="AM69" s="483"/>
      <c r="AN69" s="483"/>
      <c r="AO69" s="483"/>
      <c r="AP69" s="483"/>
      <c r="AQ69" s="483"/>
      <c r="AR69" s="484"/>
      <c r="AS69" s="161"/>
      <c r="AU69" s="451"/>
      <c r="AV69" s="151"/>
      <c r="AW69" s="482" t="str">
        <f>IF(Roster!$P$12=0&amp;BF12,"",Roster!$P$12)</f>
        <v xml:space="preserve"> </v>
      </c>
      <c r="AX69" s="483"/>
      <c r="AY69" s="483"/>
      <c r="AZ69" s="483"/>
      <c r="BA69" s="483"/>
      <c r="BB69" s="483"/>
      <c r="BC69" s="483"/>
      <c r="BD69" s="483"/>
      <c r="BE69" s="483"/>
      <c r="BF69" s="483"/>
      <c r="BG69" s="484"/>
      <c r="BH69" s="161"/>
    </row>
    <row r="70" spans="2:60" ht="11.25" customHeight="1" x14ac:dyDescent="0.2">
      <c r="B70" s="150" t="str">
        <f>IF(Roster!$AO$1=0,"",Roster!$AO$1)</f>
        <v>COST</v>
      </c>
      <c r="C70" s="150"/>
      <c r="D70" s="485"/>
      <c r="E70" s="486"/>
      <c r="F70" s="486"/>
      <c r="G70" s="486"/>
      <c r="H70" s="486"/>
      <c r="I70" s="486"/>
      <c r="J70" s="486"/>
      <c r="K70" s="486"/>
      <c r="L70" s="486"/>
      <c r="M70" s="486"/>
      <c r="N70" s="487"/>
      <c r="O70" s="162"/>
      <c r="Q70" s="150" t="str">
        <f>IF(Roster!$AO$1=0,"",Roster!$AO$1)</f>
        <v>COST</v>
      </c>
      <c r="R70" s="150"/>
      <c r="S70" s="485"/>
      <c r="T70" s="486"/>
      <c r="U70" s="486"/>
      <c r="V70" s="486"/>
      <c r="W70" s="486"/>
      <c r="X70" s="486"/>
      <c r="Y70" s="486"/>
      <c r="Z70" s="486"/>
      <c r="AA70" s="486"/>
      <c r="AB70" s="486"/>
      <c r="AC70" s="487"/>
      <c r="AD70" s="162"/>
      <c r="AF70" s="150" t="str">
        <f>IF(Roster!$AO$1=0,"",Roster!$AO$1)</f>
        <v>COST</v>
      </c>
      <c r="AG70" s="150"/>
      <c r="AH70" s="485"/>
      <c r="AI70" s="486"/>
      <c r="AJ70" s="486"/>
      <c r="AK70" s="486"/>
      <c r="AL70" s="486"/>
      <c r="AM70" s="486"/>
      <c r="AN70" s="486"/>
      <c r="AO70" s="486"/>
      <c r="AP70" s="486"/>
      <c r="AQ70" s="486"/>
      <c r="AR70" s="487"/>
      <c r="AS70" s="162"/>
      <c r="AU70" s="150" t="str">
        <f>IF(Roster!$AO$1=0,"",Roster!$AO$1)</f>
        <v>COST</v>
      </c>
      <c r="AV70" s="150"/>
      <c r="AW70" s="485"/>
      <c r="AX70" s="486"/>
      <c r="AY70" s="486"/>
      <c r="AZ70" s="486"/>
      <c r="BA70" s="486"/>
      <c r="BB70" s="486"/>
      <c r="BC70" s="486"/>
      <c r="BD70" s="486"/>
      <c r="BE70" s="486"/>
      <c r="BF70" s="486"/>
      <c r="BG70" s="487"/>
      <c r="BH70" s="162"/>
    </row>
    <row r="71" spans="2:60" ht="34.5" customHeight="1" x14ac:dyDescent="0.2">
      <c r="B71" s="164" t="str">
        <f>IF(Roster!$AO$9=0,"",Roster!$AO$9)</f>
        <v/>
      </c>
      <c r="C71" s="165"/>
      <c r="D71" s="488"/>
      <c r="E71" s="489"/>
      <c r="F71" s="489"/>
      <c r="G71" s="489"/>
      <c r="H71" s="489"/>
      <c r="I71" s="489"/>
      <c r="J71" s="489"/>
      <c r="K71" s="489"/>
      <c r="L71" s="489"/>
      <c r="M71" s="489"/>
      <c r="N71" s="490"/>
      <c r="O71" s="162"/>
      <c r="Q71" s="164">
        <f>IF(Roster!$AO$10=0,"",Roster!$AO$10)</f>
        <v>40000</v>
      </c>
      <c r="R71" s="165"/>
      <c r="S71" s="488"/>
      <c r="T71" s="489"/>
      <c r="U71" s="489"/>
      <c r="V71" s="489"/>
      <c r="W71" s="489"/>
      <c r="X71" s="489"/>
      <c r="Y71" s="489"/>
      <c r="Z71" s="489"/>
      <c r="AA71" s="489"/>
      <c r="AB71" s="489"/>
      <c r="AC71" s="490"/>
      <c r="AD71" s="162"/>
      <c r="AF71" s="164">
        <f>IF(Roster!$AO$11=0,"",Roster!$AO$11)</f>
        <v>40000</v>
      </c>
      <c r="AG71" s="165"/>
      <c r="AH71" s="488"/>
      <c r="AI71" s="489"/>
      <c r="AJ71" s="489"/>
      <c r="AK71" s="489"/>
      <c r="AL71" s="489"/>
      <c r="AM71" s="489"/>
      <c r="AN71" s="489"/>
      <c r="AO71" s="489"/>
      <c r="AP71" s="489"/>
      <c r="AQ71" s="489"/>
      <c r="AR71" s="490"/>
      <c r="AS71" s="162"/>
      <c r="AU71" s="164">
        <f>IF(Roster!$AO$12=0,"",Roster!$AO$12)</f>
        <v>40000</v>
      </c>
      <c r="AV71" s="165"/>
      <c r="AW71" s="488"/>
      <c r="AX71" s="489"/>
      <c r="AY71" s="489"/>
      <c r="AZ71" s="489"/>
      <c r="BA71" s="489"/>
      <c r="BB71" s="489"/>
      <c r="BC71" s="489"/>
      <c r="BD71" s="489"/>
      <c r="BE71" s="489"/>
      <c r="BF71" s="489"/>
      <c r="BG71" s="490"/>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7" t="str">
        <f>IF(Roster!$A$13=0,"","#"&amp;Roster!$A$13)</f>
        <v>#12</v>
      </c>
      <c r="C74" s="146"/>
      <c r="D74" s="146"/>
      <c r="E74" s="146"/>
      <c r="F74" s="146"/>
      <c r="G74" s="146"/>
      <c r="H74" s="146"/>
      <c r="I74" s="146"/>
      <c r="J74" s="146"/>
      <c r="K74" s="146"/>
      <c r="L74" s="146"/>
      <c r="M74" s="146"/>
      <c r="N74" s="146"/>
      <c r="O74" s="146"/>
      <c r="Q74" s="477" t="str">
        <f>IF(Roster!$A$14=0,"","#"&amp;Roster!$A$14)</f>
        <v>#13</v>
      </c>
      <c r="R74" s="146"/>
      <c r="S74" s="146"/>
      <c r="T74" s="146"/>
      <c r="U74" s="146"/>
      <c r="V74" s="146"/>
      <c r="W74" s="146"/>
      <c r="X74" s="146"/>
      <c r="Y74" s="146"/>
      <c r="Z74" s="146"/>
      <c r="AA74" s="146"/>
      <c r="AB74" s="146"/>
      <c r="AC74" s="146"/>
      <c r="AD74" s="146"/>
      <c r="AF74" s="477" t="str">
        <f>IF(Roster!$A$15=0,"","#"&amp;Roster!$A$15)</f>
        <v>#14</v>
      </c>
      <c r="AG74" s="146"/>
      <c r="AH74" s="146"/>
      <c r="AI74" s="146"/>
      <c r="AJ74" s="146"/>
      <c r="AK74" s="146"/>
      <c r="AL74" s="146"/>
      <c r="AM74" s="146"/>
      <c r="AN74" s="146"/>
      <c r="AO74" s="146"/>
      <c r="AP74" s="146"/>
      <c r="AQ74" s="146"/>
      <c r="AR74" s="146"/>
      <c r="AS74" s="146"/>
      <c r="AU74" s="477" t="str">
        <f>IF(Roster!$A$16=0,"","#"&amp;Roster!$A$16)</f>
        <v>#15</v>
      </c>
      <c r="AV74" s="146"/>
      <c r="AW74" s="146"/>
      <c r="AX74" s="146"/>
      <c r="AY74" s="146"/>
      <c r="AZ74" s="146"/>
      <c r="BA74" s="146"/>
      <c r="BB74" s="146"/>
      <c r="BC74" s="146"/>
      <c r="BD74" s="146"/>
      <c r="BE74" s="146"/>
      <c r="BF74" s="146"/>
      <c r="BG74" s="146"/>
      <c r="BH74" s="146"/>
    </row>
    <row r="75" spans="2:60" ht="15" customHeight="1" x14ac:dyDescent="0.25">
      <c r="B75" s="291"/>
      <c r="C75" s="480" t="str">
        <f>IF(Roster!$B$13=0,"",Roster!$B$13)</f>
        <v>Rutt</v>
      </c>
      <c r="D75" s="304"/>
      <c r="E75" s="304"/>
      <c r="F75" s="304"/>
      <c r="G75" s="304"/>
      <c r="H75" s="304"/>
      <c r="I75" s="304"/>
      <c r="J75" s="304"/>
      <c r="K75" s="304"/>
      <c r="L75" s="304"/>
      <c r="M75" s="304"/>
      <c r="N75" s="305"/>
      <c r="O75" s="146"/>
      <c r="Q75" s="291"/>
      <c r="R75" s="480" t="str">
        <f>IF(Roster!$B$14=0,"",Roster!$B$14)</f>
        <v>Cornutone</v>
      </c>
      <c r="S75" s="304"/>
      <c r="T75" s="304"/>
      <c r="U75" s="304"/>
      <c r="V75" s="304"/>
      <c r="W75" s="304"/>
      <c r="X75" s="304"/>
      <c r="Y75" s="304"/>
      <c r="Z75" s="304"/>
      <c r="AA75" s="304"/>
      <c r="AB75" s="304"/>
      <c r="AC75" s="305"/>
      <c r="AD75" s="146"/>
      <c r="AF75" s="291"/>
      <c r="AG75" s="480" t="str">
        <f>IF(Roster!$B$15=0,"",Roster!$B$15)</f>
        <v/>
      </c>
      <c r="AH75" s="304"/>
      <c r="AI75" s="304"/>
      <c r="AJ75" s="304"/>
      <c r="AK75" s="304"/>
      <c r="AL75" s="304"/>
      <c r="AM75" s="304"/>
      <c r="AN75" s="304"/>
      <c r="AO75" s="304"/>
      <c r="AP75" s="304"/>
      <c r="AQ75" s="304"/>
      <c r="AR75" s="305"/>
      <c r="AS75" s="146"/>
      <c r="AU75" s="291"/>
      <c r="AV75" s="480" t="str">
        <f>IF(Roster!$B$16=0,"",Roster!$B$16)</f>
        <v/>
      </c>
      <c r="AW75" s="304"/>
      <c r="AX75" s="304"/>
      <c r="AY75" s="304"/>
      <c r="AZ75" s="304"/>
      <c r="BA75" s="304"/>
      <c r="BB75" s="304"/>
      <c r="BC75" s="304"/>
      <c r="BD75" s="304"/>
      <c r="BE75" s="304"/>
      <c r="BF75" s="304"/>
      <c r="BG75" s="305"/>
      <c r="BH75" s="146"/>
    </row>
    <row r="76" spans="2:60" ht="11.25" customHeight="1" x14ac:dyDescent="0.2">
      <c r="B76" s="451"/>
      <c r="C76" s="481" t="str">
        <f>IF(Roster!$D$13=0,"",Roster!$D$13)</f>
        <v>Hobgoblin Lineman</v>
      </c>
      <c r="D76" s="304"/>
      <c r="E76" s="304"/>
      <c r="F76" s="304"/>
      <c r="G76" s="304"/>
      <c r="H76" s="304"/>
      <c r="I76" s="304"/>
      <c r="J76" s="304"/>
      <c r="K76" s="304"/>
      <c r="L76" s="304"/>
      <c r="M76" s="304"/>
      <c r="N76" s="305"/>
      <c r="O76" s="147"/>
      <c r="Q76" s="451"/>
      <c r="R76" s="481" t="str">
        <f>IF(Roster!$D$14=0,"",Roster!$D$14)</f>
        <v>Minotaur</v>
      </c>
      <c r="S76" s="304"/>
      <c r="T76" s="304"/>
      <c r="U76" s="304"/>
      <c r="V76" s="304"/>
      <c r="W76" s="304"/>
      <c r="X76" s="304"/>
      <c r="Y76" s="304"/>
      <c r="Z76" s="304"/>
      <c r="AA76" s="304"/>
      <c r="AB76" s="304"/>
      <c r="AC76" s="305"/>
      <c r="AD76" s="147"/>
      <c r="AF76" s="451"/>
      <c r="AG76" s="481" t="str">
        <f>IF(Roster!$D$15=0,"",Roster!$D$15)</f>
        <v/>
      </c>
      <c r="AH76" s="304"/>
      <c r="AI76" s="304"/>
      <c r="AJ76" s="304"/>
      <c r="AK76" s="304"/>
      <c r="AL76" s="304"/>
      <c r="AM76" s="304"/>
      <c r="AN76" s="304"/>
      <c r="AO76" s="304"/>
      <c r="AP76" s="304"/>
      <c r="AQ76" s="304"/>
      <c r="AR76" s="305"/>
      <c r="AS76" s="147"/>
      <c r="AU76" s="451"/>
      <c r="AV76" s="481" t="str">
        <f>IF(Roster!$D$16=0,"",Roster!$D$16)</f>
        <v/>
      </c>
      <c r="AW76" s="304"/>
      <c r="AX76" s="304"/>
      <c r="AY76" s="304"/>
      <c r="AZ76" s="304"/>
      <c r="BA76" s="304"/>
      <c r="BB76" s="304"/>
      <c r="BC76" s="304"/>
      <c r="BD76" s="304"/>
      <c r="BE76" s="304"/>
      <c r="BF76" s="304"/>
      <c r="BG76" s="305"/>
      <c r="BH76" s="147"/>
    </row>
    <row r="77" spans="2:60" ht="11.25" customHeight="1" x14ac:dyDescent="0.2">
      <c r="B77" s="150" t="str">
        <f>IF(Roster!$K$1=0,"",Roster!$K$1)</f>
        <v>MA</v>
      </c>
      <c r="C77" s="149"/>
      <c r="D77" s="492"/>
      <c r="E77" s="492"/>
      <c r="F77" s="492"/>
      <c r="G77" s="492"/>
      <c r="H77" s="492"/>
      <c r="I77" s="492"/>
      <c r="J77" s="492"/>
      <c r="K77" s="492"/>
      <c r="L77" s="492"/>
      <c r="M77" s="492"/>
      <c r="N77" s="492"/>
      <c r="O77" s="146"/>
      <c r="Q77" s="150" t="str">
        <f>IF(Roster!$K$1=0,"",Roster!$K$1)</f>
        <v>MA</v>
      </c>
      <c r="R77" s="149"/>
      <c r="S77" s="492"/>
      <c r="T77" s="492"/>
      <c r="U77" s="492"/>
      <c r="V77" s="492"/>
      <c r="W77" s="492"/>
      <c r="X77" s="492"/>
      <c r="Y77" s="492"/>
      <c r="Z77" s="492"/>
      <c r="AA77" s="492"/>
      <c r="AB77" s="492"/>
      <c r="AC77" s="492"/>
      <c r="AD77" s="146"/>
      <c r="AF77" s="150" t="str">
        <f>IF(Roster!$K$1=0,"",Roster!$K$1)</f>
        <v>MA</v>
      </c>
      <c r="AG77" s="149"/>
      <c r="AH77" s="492"/>
      <c r="AI77" s="492"/>
      <c r="AJ77" s="492"/>
      <c r="AK77" s="492"/>
      <c r="AL77" s="492"/>
      <c r="AM77" s="492"/>
      <c r="AN77" s="492"/>
      <c r="AO77" s="492"/>
      <c r="AP77" s="492"/>
      <c r="AQ77" s="492"/>
      <c r="AR77" s="492"/>
      <c r="AS77" s="146"/>
      <c r="AU77" s="150" t="str">
        <f>IF(Roster!$K$1=0,"",Roster!$K$1)</f>
        <v>MA</v>
      </c>
      <c r="AV77" s="149"/>
      <c r="AW77" s="492"/>
      <c r="AX77" s="492"/>
      <c r="AY77" s="492"/>
      <c r="AZ77" s="492"/>
      <c r="BA77" s="492"/>
      <c r="BB77" s="492"/>
      <c r="BC77" s="492"/>
      <c r="BD77" s="492"/>
      <c r="BE77" s="492"/>
      <c r="BF77" s="492"/>
      <c r="BG77" s="492"/>
      <c r="BH77" s="146"/>
    </row>
    <row r="78" spans="2:60" ht="37.5" customHeight="1" x14ac:dyDescent="0.2">
      <c r="B78" s="152">
        <f>IF(Roster!$K$13=0,"",Roster!$K$13)</f>
        <v>6</v>
      </c>
      <c r="C78" s="149"/>
      <c r="D78" s="492"/>
      <c r="E78" s="492"/>
      <c r="F78" s="492"/>
      <c r="G78" s="492"/>
      <c r="H78" s="492"/>
      <c r="I78" s="492"/>
      <c r="J78" s="492"/>
      <c r="K78" s="492"/>
      <c r="L78" s="492"/>
      <c r="M78" s="492"/>
      <c r="N78" s="492"/>
      <c r="O78" s="146"/>
      <c r="Q78" s="152">
        <f>IF(Roster!$K$14=0,"",Roster!$K$14)</f>
        <v>5</v>
      </c>
      <c r="R78" s="149"/>
      <c r="S78" s="492"/>
      <c r="T78" s="492"/>
      <c r="U78" s="492"/>
      <c r="V78" s="492"/>
      <c r="W78" s="492"/>
      <c r="X78" s="492"/>
      <c r="Y78" s="492"/>
      <c r="Z78" s="492"/>
      <c r="AA78" s="492"/>
      <c r="AB78" s="492"/>
      <c r="AC78" s="492"/>
      <c r="AD78" s="146"/>
      <c r="AF78" s="152" t="str">
        <f>IF(Roster!$K$15=0,"",Roster!$K$15)</f>
        <v/>
      </c>
      <c r="AG78" s="149"/>
      <c r="AH78" s="492"/>
      <c r="AI78" s="492"/>
      <c r="AJ78" s="492"/>
      <c r="AK78" s="492"/>
      <c r="AL78" s="492"/>
      <c r="AM78" s="492"/>
      <c r="AN78" s="492"/>
      <c r="AO78" s="492"/>
      <c r="AP78" s="492"/>
      <c r="AQ78" s="492"/>
      <c r="AR78" s="492"/>
      <c r="AS78" s="146"/>
      <c r="AU78" s="152" t="str">
        <f>IF(Roster!$K$16=0,"",Roster!$K$16)</f>
        <v/>
      </c>
      <c r="AV78" s="149"/>
      <c r="AW78" s="492"/>
      <c r="AX78" s="492"/>
      <c r="AY78" s="492"/>
      <c r="AZ78" s="492"/>
      <c r="BA78" s="492"/>
      <c r="BB78" s="492"/>
      <c r="BC78" s="492"/>
      <c r="BD78" s="492"/>
      <c r="BE78" s="492"/>
      <c r="BF78" s="492"/>
      <c r="BG78" s="492"/>
      <c r="BH78" s="146"/>
    </row>
    <row r="79" spans="2:60" ht="11.25" customHeight="1" x14ac:dyDescent="0.2">
      <c r="B79" s="150" t="str">
        <f>IF(Roster!$L$1=0,"",Roster!$L$1)</f>
        <v>ST</v>
      </c>
      <c r="C79" s="149"/>
      <c r="D79" s="492"/>
      <c r="E79" s="492"/>
      <c r="F79" s="492"/>
      <c r="G79" s="492"/>
      <c r="H79" s="492"/>
      <c r="I79" s="492"/>
      <c r="J79" s="492"/>
      <c r="K79" s="492"/>
      <c r="L79" s="492"/>
      <c r="M79" s="492"/>
      <c r="N79" s="492"/>
      <c r="O79" s="146"/>
      <c r="Q79" s="150" t="str">
        <f>IF(Roster!$L$1=0,"",Roster!$L$1)</f>
        <v>ST</v>
      </c>
      <c r="R79" s="149"/>
      <c r="S79" s="492"/>
      <c r="T79" s="492"/>
      <c r="U79" s="492"/>
      <c r="V79" s="492"/>
      <c r="W79" s="492"/>
      <c r="X79" s="492"/>
      <c r="Y79" s="492"/>
      <c r="Z79" s="492"/>
      <c r="AA79" s="492"/>
      <c r="AB79" s="492"/>
      <c r="AC79" s="492"/>
      <c r="AD79" s="146"/>
      <c r="AF79" s="150" t="str">
        <f>IF(Roster!$L$1=0,"",Roster!$L$1)</f>
        <v>ST</v>
      </c>
      <c r="AG79" s="149"/>
      <c r="AH79" s="492"/>
      <c r="AI79" s="492"/>
      <c r="AJ79" s="492"/>
      <c r="AK79" s="492"/>
      <c r="AL79" s="492"/>
      <c r="AM79" s="492"/>
      <c r="AN79" s="492"/>
      <c r="AO79" s="492"/>
      <c r="AP79" s="492"/>
      <c r="AQ79" s="492"/>
      <c r="AR79" s="492"/>
      <c r="AS79" s="146"/>
      <c r="AU79" s="150" t="str">
        <f>IF(Roster!$L$1=0,"",Roster!$L$1)</f>
        <v>ST</v>
      </c>
      <c r="AV79" s="149"/>
      <c r="AW79" s="492"/>
      <c r="AX79" s="492"/>
      <c r="AY79" s="492"/>
      <c r="AZ79" s="492"/>
      <c r="BA79" s="492"/>
      <c r="BB79" s="492"/>
      <c r="BC79" s="492"/>
      <c r="BD79" s="492"/>
      <c r="BE79" s="492"/>
      <c r="BF79" s="492"/>
      <c r="BG79" s="492"/>
      <c r="BH79" s="146"/>
    </row>
    <row r="80" spans="2:60" ht="37.5" customHeight="1" x14ac:dyDescent="0.2">
      <c r="B80" s="152">
        <f>IF(Roster!$L$13=0,"",Roster!$L$13)</f>
        <v>3</v>
      </c>
      <c r="C80" s="149"/>
      <c r="D80" s="492"/>
      <c r="E80" s="492"/>
      <c r="F80" s="492"/>
      <c r="G80" s="492"/>
      <c r="H80" s="492"/>
      <c r="I80" s="492"/>
      <c r="J80" s="492"/>
      <c r="K80" s="492"/>
      <c r="L80" s="492"/>
      <c r="M80" s="492"/>
      <c r="N80" s="492"/>
      <c r="O80" s="146"/>
      <c r="Q80" s="152">
        <f>IF(Roster!$L$14=0,"",Roster!$L$14)</f>
        <v>5</v>
      </c>
      <c r="R80" s="149"/>
      <c r="S80" s="492"/>
      <c r="T80" s="492"/>
      <c r="U80" s="492"/>
      <c r="V80" s="492"/>
      <c r="W80" s="492"/>
      <c r="X80" s="492"/>
      <c r="Y80" s="492"/>
      <c r="Z80" s="492"/>
      <c r="AA80" s="492"/>
      <c r="AB80" s="492"/>
      <c r="AC80" s="492"/>
      <c r="AD80" s="146"/>
      <c r="AF80" s="152" t="str">
        <f>IF(Roster!$L$15=0,"",Roster!$L$15)</f>
        <v/>
      </c>
      <c r="AG80" s="149"/>
      <c r="AH80" s="492"/>
      <c r="AI80" s="492"/>
      <c r="AJ80" s="492"/>
      <c r="AK80" s="492"/>
      <c r="AL80" s="492"/>
      <c r="AM80" s="492"/>
      <c r="AN80" s="492"/>
      <c r="AO80" s="492"/>
      <c r="AP80" s="492"/>
      <c r="AQ80" s="492"/>
      <c r="AR80" s="492"/>
      <c r="AS80" s="146"/>
      <c r="AU80" s="152" t="str">
        <f>IF(Roster!$L$16=0,"",Roster!$L$16)</f>
        <v/>
      </c>
      <c r="AV80" s="149"/>
      <c r="AW80" s="492"/>
      <c r="AX80" s="492"/>
      <c r="AY80" s="492"/>
      <c r="AZ80" s="492"/>
      <c r="BA80" s="492"/>
      <c r="BB80" s="492"/>
      <c r="BC80" s="492"/>
      <c r="BD80" s="492"/>
      <c r="BE80" s="492"/>
      <c r="BF80" s="492"/>
      <c r="BG80" s="492"/>
      <c r="BH80" s="146"/>
    </row>
    <row r="81" spans="2:60" ht="11.25" customHeight="1" x14ac:dyDescent="0.2">
      <c r="B81" s="150" t="str">
        <f>IF(Roster!$M$1=0,"",Roster!$M$1)</f>
        <v>AG</v>
      </c>
      <c r="C81" s="149"/>
      <c r="D81" s="492"/>
      <c r="E81" s="492"/>
      <c r="F81" s="492"/>
      <c r="G81" s="492"/>
      <c r="H81" s="492"/>
      <c r="I81" s="492"/>
      <c r="J81" s="492"/>
      <c r="K81" s="492"/>
      <c r="L81" s="492"/>
      <c r="M81" s="492"/>
      <c r="N81" s="492"/>
      <c r="O81" s="146"/>
      <c r="Q81" s="150" t="str">
        <f>IF(Roster!$M$1=0,"",Roster!$M$1)</f>
        <v>AG</v>
      </c>
      <c r="R81" s="149"/>
      <c r="S81" s="492"/>
      <c r="T81" s="492"/>
      <c r="U81" s="492"/>
      <c r="V81" s="492"/>
      <c r="W81" s="492"/>
      <c r="X81" s="492"/>
      <c r="Y81" s="492"/>
      <c r="Z81" s="492"/>
      <c r="AA81" s="492"/>
      <c r="AB81" s="492"/>
      <c r="AC81" s="492"/>
      <c r="AD81" s="146"/>
      <c r="AF81" s="150" t="str">
        <f>IF(Roster!$M$1=0,"",Roster!$M$1)</f>
        <v>AG</v>
      </c>
      <c r="AG81" s="149"/>
      <c r="AH81" s="492"/>
      <c r="AI81" s="492"/>
      <c r="AJ81" s="492"/>
      <c r="AK81" s="492"/>
      <c r="AL81" s="492"/>
      <c r="AM81" s="492"/>
      <c r="AN81" s="492"/>
      <c r="AO81" s="492"/>
      <c r="AP81" s="492"/>
      <c r="AQ81" s="492"/>
      <c r="AR81" s="492"/>
      <c r="AS81" s="146"/>
      <c r="AU81" s="150" t="str">
        <f>IF(Roster!$M$1=0,"",Roster!$M$1)</f>
        <v>AG</v>
      </c>
      <c r="AV81" s="149"/>
      <c r="AW81" s="492"/>
      <c r="AX81" s="492"/>
      <c r="AY81" s="492"/>
      <c r="AZ81" s="492"/>
      <c r="BA81" s="492"/>
      <c r="BB81" s="492"/>
      <c r="BC81" s="492"/>
      <c r="BD81" s="492"/>
      <c r="BE81" s="492"/>
      <c r="BF81" s="492"/>
      <c r="BG81" s="492"/>
      <c r="BH81" s="146"/>
    </row>
    <row r="82" spans="2:60" ht="37.5" customHeight="1" x14ac:dyDescent="0.2">
      <c r="B82" s="152" t="str">
        <f>IF(Roster!$M$13=0&amp;"+","",Roster!$M$13)</f>
        <v>3+</v>
      </c>
      <c r="C82" s="149"/>
      <c r="D82" s="492"/>
      <c r="E82" s="492"/>
      <c r="F82" s="492"/>
      <c r="G82" s="492"/>
      <c r="H82" s="492"/>
      <c r="I82" s="492"/>
      <c r="J82" s="492"/>
      <c r="K82" s="492"/>
      <c r="L82" s="492"/>
      <c r="M82" s="492"/>
      <c r="N82" s="492"/>
      <c r="O82" s="146"/>
      <c r="Q82" s="152" t="str">
        <f>IF(Roster!$M$14=0&amp;"+","",Roster!$M$14)</f>
        <v>4+</v>
      </c>
      <c r="R82" s="149"/>
      <c r="S82" s="492"/>
      <c r="T82" s="492"/>
      <c r="U82" s="492"/>
      <c r="V82" s="492"/>
      <c r="W82" s="492"/>
      <c r="X82" s="492"/>
      <c r="Y82" s="492"/>
      <c r="Z82" s="492"/>
      <c r="AA82" s="492"/>
      <c r="AB82" s="492"/>
      <c r="AC82" s="492"/>
      <c r="AD82" s="146"/>
      <c r="AF82" s="152" t="str">
        <f>IF(Roster!$M$15=0&amp;"+","",Roster!$M$15)</f>
        <v/>
      </c>
      <c r="AG82" s="149"/>
      <c r="AH82" s="492"/>
      <c r="AI82" s="492"/>
      <c r="AJ82" s="492"/>
      <c r="AK82" s="492"/>
      <c r="AL82" s="492"/>
      <c r="AM82" s="492"/>
      <c r="AN82" s="492"/>
      <c r="AO82" s="492"/>
      <c r="AP82" s="492"/>
      <c r="AQ82" s="492"/>
      <c r="AR82" s="492"/>
      <c r="AS82" s="146"/>
      <c r="AU82" s="152" t="str">
        <f>IF(Roster!$M$16=0&amp;"+","",Roster!$M$16)</f>
        <v/>
      </c>
      <c r="AV82" s="149"/>
      <c r="AW82" s="492"/>
      <c r="AX82" s="492"/>
      <c r="AY82" s="492"/>
      <c r="AZ82" s="492"/>
      <c r="BA82" s="492"/>
      <c r="BB82" s="492"/>
      <c r="BC82" s="492"/>
      <c r="BD82" s="492"/>
      <c r="BE82" s="492"/>
      <c r="BF82" s="492"/>
      <c r="BG82" s="492"/>
      <c r="BH82" s="146"/>
    </row>
    <row r="83" spans="2:60" ht="11.25" customHeight="1" x14ac:dyDescent="0.2">
      <c r="B83" s="150" t="str">
        <f>IF(Roster!$N$1=0,"",Roster!$N$1)</f>
        <v>PA</v>
      </c>
      <c r="C83" s="149"/>
      <c r="D83" s="492"/>
      <c r="E83" s="492"/>
      <c r="F83" s="492"/>
      <c r="G83" s="492"/>
      <c r="H83" s="492"/>
      <c r="I83" s="492"/>
      <c r="J83" s="492"/>
      <c r="K83" s="492"/>
      <c r="L83" s="492"/>
      <c r="M83" s="492"/>
      <c r="N83" s="492"/>
      <c r="O83" s="155"/>
      <c r="Q83" s="150" t="str">
        <f>IF(Roster!$N$1=0,"",Roster!$N$1)</f>
        <v>PA</v>
      </c>
      <c r="R83" s="149"/>
      <c r="S83" s="492"/>
      <c r="T83" s="492"/>
      <c r="U83" s="492"/>
      <c r="V83" s="492"/>
      <c r="W83" s="492"/>
      <c r="X83" s="492"/>
      <c r="Y83" s="492"/>
      <c r="Z83" s="492"/>
      <c r="AA83" s="492"/>
      <c r="AB83" s="492"/>
      <c r="AC83" s="492"/>
      <c r="AD83" s="155"/>
      <c r="AF83" s="150" t="str">
        <f>IF(Roster!$N$1=0,"",Roster!$N$1)</f>
        <v>PA</v>
      </c>
      <c r="AG83" s="149"/>
      <c r="AH83" s="492"/>
      <c r="AI83" s="492"/>
      <c r="AJ83" s="492"/>
      <c r="AK83" s="492"/>
      <c r="AL83" s="492"/>
      <c r="AM83" s="492"/>
      <c r="AN83" s="492"/>
      <c r="AO83" s="492"/>
      <c r="AP83" s="492"/>
      <c r="AQ83" s="492"/>
      <c r="AR83" s="492"/>
      <c r="AS83" s="155"/>
      <c r="AU83" s="150" t="str">
        <f>IF(Roster!$N$1=0,"",Roster!$N$1)</f>
        <v>PA</v>
      </c>
      <c r="AV83" s="149"/>
      <c r="AW83" s="492"/>
      <c r="AX83" s="492"/>
      <c r="AY83" s="492"/>
      <c r="AZ83" s="492"/>
      <c r="BA83" s="492"/>
      <c r="BB83" s="492"/>
      <c r="BC83" s="492"/>
      <c r="BD83" s="492"/>
      <c r="BE83" s="492"/>
      <c r="BF83" s="492"/>
      <c r="BG83" s="492"/>
      <c r="BH83" s="155"/>
    </row>
    <row r="84" spans="2:60" ht="6" customHeight="1" x14ac:dyDescent="0.2">
      <c r="B84" s="474" t="str">
        <f>IF(Roster!$N$13=0&amp;"+","",Roster!$N$13)</f>
        <v>4+</v>
      </c>
      <c r="C84" s="149"/>
      <c r="D84" s="492"/>
      <c r="E84" s="492"/>
      <c r="F84" s="492"/>
      <c r="G84" s="492"/>
      <c r="H84" s="492"/>
      <c r="I84" s="492"/>
      <c r="J84" s="492"/>
      <c r="K84" s="492"/>
      <c r="L84" s="492"/>
      <c r="M84" s="492"/>
      <c r="N84" s="492"/>
      <c r="O84" s="157"/>
      <c r="Q84" s="474" t="str">
        <f>IF(Roster!$N$14=0&amp;"+","",Roster!$N$14)</f>
        <v/>
      </c>
      <c r="R84" s="149"/>
      <c r="S84" s="492"/>
      <c r="T84" s="492"/>
      <c r="U84" s="492"/>
      <c r="V84" s="492"/>
      <c r="W84" s="492"/>
      <c r="X84" s="492"/>
      <c r="Y84" s="492"/>
      <c r="Z84" s="492"/>
      <c r="AA84" s="492"/>
      <c r="AB84" s="492"/>
      <c r="AC84" s="492"/>
      <c r="AD84" s="157"/>
      <c r="AF84" s="474" t="str">
        <f>IF(Roster!$N$15=0&amp;"+","",Roster!$N$15)</f>
        <v/>
      </c>
      <c r="AG84" s="149"/>
      <c r="AH84" s="492"/>
      <c r="AI84" s="492"/>
      <c r="AJ84" s="492"/>
      <c r="AK84" s="492"/>
      <c r="AL84" s="492"/>
      <c r="AM84" s="492"/>
      <c r="AN84" s="492"/>
      <c r="AO84" s="492"/>
      <c r="AP84" s="492"/>
      <c r="AQ84" s="492"/>
      <c r="AR84" s="492"/>
      <c r="AS84" s="157"/>
      <c r="AU84" s="474" t="str">
        <f>IF(Roster!$N$16=0&amp;"+","",Roster!$N$16)</f>
        <v/>
      </c>
      <c r="AV84" s="149"/>
      <c r="AW84" s="492"/>
      <c r="AX84" s="492"/>
      <c r="AY84" s="492"/>
      <c r="AZ84" s="492"/>
      <c r="BA84" s="492"/>
      <c r="BB84" s="492"/>
      <c r="BC84" s="492"/>
      <c r="BD84" s="492"/>
      <c r="BE84" s="492"/>
      <c r="BF84" s="492"/>
      <c r="BG84" s="492"/>
      <c r="BH84" s="157"/>
    </row>
    <row r="85" spans="2:60" ht="4.5" customHeight="1" x14ac:dyDescent="0.2">
      <c r="B85" s="291"/>
      <c r="C85" s="149"/>
      <c r="D85" s="146"/>
      <c r="E85" s="156"/>
      <c r="F85" s="146"/>
      <c r="G85" s="156"/>
      <c r="H85" s="146"/>
      <c r="I85" s="156"/>
      <c r="J85" s="146"/>
      <c r="K85" s="156"/>
      <c r="L85" s="146"/>
      <c r="M85" s="156"/>
      <c r="N85" s="146"/>
      <c r="O85" s="157"/>
      <c r="Q85" s="291"/>
      <c r="R85" s="149"/>
      <c r="S85" s="146"/>
      <c r="T85" s="156"/>
      <c r="U85" s="146"/>
      <c r="V85" s="156"/>
      <c r="W85" s="146"/>
      <c r="X85" s="156"/>
      <c r="Y85" s="146"/>
      <c r="Z85" s="156"/>
      <c r="AA85" s="146"/>
      <c r="AB85" s="156"/>
      <c r="AC85" s="146"/>
      <c r="AD85" s="157"/>
      <c r="AF85" s="291"/>
      <c r="AG85" s="149"/>
      <c r="AH85" s="146"/>
      <c r="AI85" s="156"/>
      <c r="AJ85" s="146"/>
      <c r="AK85" s="156"/>
      <c r="AL85" s="146"/>
      <c r="AM85" s="156"/>
      <c r="AN85" s="146"/>
      <c r="AO85" s="156"/>
      <c r="AP85" s="146"/>
      <c r="AQ85" s="156"/>
      <c r="AR85" s="146"/>
      <c r="AS85" s="157"/>
      <c r="AU85" s="291"/>
      <c r="AV85" s="149"/>
      <c r="AW85" s="146"/>
      <c r="AX85" s="156"/>
      <c r="AY85" s="146"/>
      <c r="AZ85" s="156"/>
      <c r="BA85" s="146"/>
      <c r="BB85" s="156"/>
      <c r="BC85" s="146"/>
      <c r="BD85" s="156"/>
      <c r="BE85" s="146"/>
      <c r="BF85" s="156"/>
      <c r="BG85" s="146"/>
      <c r="BH85" s="157"/>
    </row>
    <row r="86" spans="2:60" ht="11.25" customHeight="1" x14ac:dyDescent="0.2">
      <c r="B86" s="291"/>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1"/>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1"/>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1"/>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1"/>
      <c r="C87" s="151"/>
      <c r="D87" s="159" t="str">
        <f>IF(Roster!$AD$13=0,"",Roster!$AD$13)</f>
        <v/>
      </c>
      <c r="E87" s="151"/>
      <c r="F87" s="159">
        <f>IF((SUM(H87,J87,L87))=0,"",(SUM(H87,J87,L87)))</f>
        <v>1</v>
      </c>
      <c r="G87" s="151"/>
      <c r="H87" s="159">
        <f>IF(Roster!$AG$13=0,"",Roster!$AG$13)</f>
        <v>1</v>
      </c>
      <c r="I87" s="151"/>
      <c r="J87" s="159" t="str">
        <f>IF(Roster!$AH$13=0,"",Roster!$AH$13)</f>
        <v/>
      </c>
      <c r="K87" s="151"/>
      <c r="L87" s="159" t="str">
        <f>IF(Roster!$AI$13=0,"",Roster!$AI$13)</f>
        <v/>
      </c>
      <c r="M87" s="151"/>
      <c r="N87" s="159" t="str">
        <f>IF(Roster!$AC$13=0,"",Roster!$AC$13)</f>
        <v/>
      </c>
      <c r="O87" s="157"/>
      <c r="Q87" s="291"/>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1"/>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1"/>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1"/>
      <c r="C88" s="151"/>
      <c r="D88" s="160"/>
      <c r="E88" s="151"/>
      <c r="F88" s="160"/>
      <c r="G88" s="151"/>
      <c r="H88" s="160"/>
      <c r="I88" s="151"/>
      <c r="J88" s="160"/>
      <c r="K88" s="151"/>
      <c r="L88" s="160"/>
      <c r="M88" s="151"/>
      <c r="N88" s="160"/>
      <c r="O88" s="157"/>
      <c r="Q88" s="451"/>
      <c r="R88" s="151"/>
      <c r="S88" s="160"/>
      <c r="T88" s="151"/>
      <c r="U88" s="160"/>
      <c r="V88" s="151"/>
      <c r="W88" s="160"/>
      <c r="X88" s="151"/>
      <c r="Y88" s="160"/>
      <c r="Z88" s="151"/>
      <c r="AA88" s="160"/>
      <c r="AB88" s="151"/>
      <c r="AC88" s="160"/>
      <c r="AD88" s="157"/>
      <c r="AF88" s="451"/>
      <c r="AG88" s="151"/>
      <c r="AH88" s="160"/>
      <c r="AI88" s="151"/>
      <c r="AJ88" s="160"/>
      <c r="AK88" s="151"/>
      <c r="AL88" s="160"/>
      <c r="AM88" s="151"/>
      <c r="AN88" s="160"/>
      <c r="AO88" s="151"/>
      <c r="AP88" s="160"/>
      <c r="AQ88" s="151"/>
      <c r="AR88" s="160"/>
      <c r="AS88" s="157"/>
      <c r="AU88" s="451"/>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4" t="str">
        <f>IF(Roster!$O$13=0&amp;"+","",Roster!$O$13)</f>
        <v>8+</v>
      </c>
      <c r="C90" s="151"/>
      <c r="D90" s="159" t="str">
        <f>IF(Roster!$AE$13=0,"",Roster!$AE$13)</f>
        <v/>
      </c>
      <c r="E90" s="151"/>
      <c r="F90" s="159" t="str">
        <f>IF(Roster!$AF$13=0,"",Roster!$AF$13)</f>
        <v/>
      </c>
      <c r="G90" s="151"/>
      <c r="H90" s="159" t="str">
        <f>IF(Roster!$AB$13=0,"",Roster!$AB$13)</f>
        <v/>
      </c>
      <c r="I90" s="151"/>
      <c r="J90" s="159" t="str">
        <f>IF(Roster!$AJ$13=0,"",Roster!$AJ$13)</f>
        <v/>
      </c>
      <c r="K90" s="151"/>
      <c r="L90" s="159">
        <f>IF(Roster!$AK$13=0,"",Roster!$AK$13)</f>
        <v>2</v>
      </c>
      <c r="M90" s="151"/>
      <c r="N90" s="159" t="str">
        <f>IF(Roster!$AA$13=0,"",Roster!$AA$13)</f>
        <v/>
      </c>
      <c r="O90" s="161"/>
      <c r="Q90" s="474" t="str">
        <f>IF(Roster!$O$14=0&amp;"+","",Roster!$O$14)</f>
        <v>9+</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4"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4"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1"/>
      <c r="C91" s="151"/>
      <c r="D91" s="151"/>
      <c r="E91" s="151"/>
      <c r="F91" s="151"/>
      <c r="G91" s="151"/>
      <c r="H91" s="151"/>
      <c r="I91" s="151"/>
      <c r="J91" s="151"/>
      <c r="K91" s="151"/>
      <c r="L91" s="151"/>
      <c r="M91" s="151"/>
      <c r="N91" s="157"/>
      <c r="O91" s="161"/>
      <c r="Q91" s="291"/>
      <c r="R91" s="151"/>
      <c r="S91" s="151"/>
      <c r="T91" s="151"/>
      <c r="U91" s="151"/>
      <c r="V91" s="151"/>
      <c r="W91" s="151"/>
      <c r="X91" s="151"/>
      <c r="Y91" s="151"/>
      <c r="Z91" s="151"/>
      <c r="AA91" s="151"/>
      <c r="AB91" s="151"/>
      <c r="AC91" s="157"/>
      <c r="AD91" s="161"/>
      <c r="AF91" s="291"/>
      <c r="AG91" s="151"/>
      <c r="AH91" s="151"/>
      <c r="AI91" s="151"/>
      <c r="AJ91" s="151"/>
      <c r="AK91" s="151"/>
      <c r="AL91" s="151"/>
      <c r="AM91" s="151"/>
      <c r="AN91" s="151"/>
      <c r="AO91" s="151"/>
      <c r="AP91" s="151"/>
      <c r="AQ91" s="151"/>
      <c r="AR91" s="157"/>
      <c r="AS91" s="161"/>
      <c r="AU91" s="291"/>
      <c r="AV91" s="151"/>
      <c r="AW91" s="151"/>
      <c r="AX91" s="151"/>
      <c r="AY91" s="151"/>
      <c r="AZ91" s="151"/>
      <c r="BA91" s="151"/>
      <c r="BB91" s="151"/>
      <c r="BC91" s="151"/>
      <c r="BD91" s="151"/>
      <c r="BE91" s="151"/>
      <c r="BF91" s="151"/>
      <c r="BG91" s="157"/>
      <c r="BH91" s="161"/>
    </row>
    <row r="92" spans="2:60" ht="11.25" customHeight="1" x14ac:dyDescent="0.2">
      <c r="B92" s="291"/>
      <c r="C92" s="151"/>
      <c r="D92" s="475" t="str">
        <f>IF(Roster!$K$25="Italiano","ABILITÀ &amp; TRATTI",(IF(Roster!$K$25="Español","HABILIDADES Y RASGOS","SKILLS &amp; TRAITS")))</f>
        <v>SKILLS &amp; TRAITS</v>
      </c>
      <c r="E92" s="304"/>
      <c r="F92" s="304"/>
      <c r="G92" s="304"/>
      <c r="H92" s="304"/>
      <c r="I92" s="304"/>
      <c r="J92" s="304"/>
      <c r="K92" s="304"/>
      <c r="L92" s="304"/>
      <c r="M92" s="304"/>
      <c r="N92" s="305"/>
      <c r="O92" s="161"/>
      <c r="Q92" s="291"/>
      <c r="R92" s="151"/>
      <c r="S92" s="475" t="str">
        <f>IF(Roster!$K$25="Italiano","ABILITÀ &amp; TRATTI",(IF(Roster!$K$25="Español","HABILIDADES Y RASGOS","SKILLS &amp; TRAITS")))</f>
        <v>SKILLS &amp; TRAITS</v>
      </c>
      <c r="T92" s="304"/>
      <c r="U92" s="304"/>
      <c r="V92" s="304"/>
      <c r="W92" s="304"/>
      <c r="X92" s="304"/>
      <c r="Y92" s="304"/>
      <c r="Z92" s="304"/>
      <c r="AA92" s="304"/>
      <c r="AB92" s="304"/>
      <c r="AC92" s="305"/>
      <c r="AD92" s="161"/>
      <c r="AF92" s="291"/>
      <c r="AG92" s="151"/>
      <c r="AH92" s="475" t="str">
        <f>IF(Roster!$K$25="Italiano","ABILITÀ &amp; TRATTI",(IF(Roster!$K$25="Español","HABILIDADES Y RASGOS","SKILLS &amp; TRAITS")))</f>
        <v>SKILLS &amp; TRAITS</v>
      </c>
      <c r="AI92" s="304"/>
      <c r="AJ92" s="304"/>
      <c r="AK92" s="304"/>
      <c r="AL92" s="304"/>
      <c r="AM92" s="304"/>
      <c r="AN92" s="304"/>
      <c r="AO92" s="304"/>
      <c r="AP92" s="304"/>
      <c r="AQ92" s="304"/>
      <c r="AR92" s="305"/>
      <c r="AS92" s="161"/>
      <c r="AU92" s="291"/>
      <c r="AV92" s="151"/>
      <c r="AW92" s="475" t="str">
        <f>IF(Roster!$K$25="Italiano","ABILITÀ &amp; TRATTI",(IF(Roster!$K$25="Español","HABILIDADES Y RASGOS","SKILLS &amp; TRAITS")))</f>
        <v>SKILLS &amp; TRAITS</v>
      </c>
      <c r="AX92" s="304"/>
      <c r="AY92" s="304"/>
      <c r="AZ92" s="304"/>
      <c r="BA92" s="304"/>
      <c r="BB92" s="304"/>
      <c r="BC92" s="304"/>
      <c r="BD92" s="304"/>
      <c r="BE92" s="304"/>
      <c r="BF92" s="304"/>
      <c r="BG92" s="305"/>
      <c r="BH92" s="161"/>
    </row>
    <row r="93" spans="2:60" ht="6.75" customHeight="1" x14ac:dyDescent="0.2">
      <c r="B93" s="451"/>
      <c r="C93" s="151"/>
      <c r="D93" s="482" t="str">
        <f>IF(Roster!$P$13=0&amp;BF13,"",Roster!$P$13)</f>
        <v xml:space="preserve"> </v>
      </c>
      <c r="E93" s="483"/>
      <c r="F93" s="483"/>
      <c r="G93" s="483"/>
      <c r="H93" s="483"/>
      <c r="I93" s="483"/>
      <c r="J93" s="483"/>
      <c r="K93" s="483"/>
      <c r="L93" s="483"/>
      <c r="M93" s="483"/>
      <c r="N93" s="484"/>
      <c r="O93" s="161"/>
      <c r="Q93" s="451"/>
      <c r="R93" s="151"/>
      <c r="S93" s="482" t="str">
        <f>IF(Roster!$P$14=0&amp;BF14,"",Roster!$P$14)</f>
        <v>Frenzy, Horns, Mighty Blow (+1), Thick Skull, Unchannelled Fury</v>
      </c>
      <c r="T93" s="483"/>
      <c r="U93" s="483"/>
      <c r="V93" s="483"/>
      <c r="W93" s="483"/>
      <c r="X93" s="483"/>
      <c r="Y93" s="483"/>
      <c r="Z93" s="483"/>
      <c r="AA93" s="483"/>
      <c r="AB93" s="483"/>
      <c r="AC93" s="484"/>
      <c r="AD93" s="161"/>
      <c r="AF93" s="451"/>
      <c r="AG93" s="151"/>
      <c r="AH93" s="482" t="str">
        <f>IF(Roster!$P$15=0&amp;BF15,"",Roster!$P$15)</f>
        <v/>
      </c>
      <c r="AI93" s="483"/>
      <c r="AJ93" s="483"/>
      <c r="AK93" s="483"/>
      <c r="AL93" s="483"/>
      <c r="AM93" s="483"/>
      <c r="AN93" s="483"/>
      <c r="AO93" s="483"/>
      <c r="AP93" s="483"/>
      <c r="AQ93" s="483"/>
      <c r="AR93" s="484"/>
      <c r="AS93" s="161"/>
      <c r="AU93" s="451"/>
      <c r="AV93" s="151"/>
      <c r="AW93" s="482" t="str">
        <f>IF(Roster!$P$16=0&amp;BF16,"",Roster!$P$16)</f>
        <v/>
      </c>
      <c r="AX93" s="483"/>
      <c r="AY93" s="483"/>
      <c r="AZ93" s="483"/>
      <c r="BA93" s="483"/>
      <c r="BB93" s="483"/>
      <c r="BC93" s="483"/>
      <c r="BD93" s="483"/>
      <c r="BE93" s="483"/>
      <c r="BF93" s="483"/>
      <c r="BG93" s="484"/>
      <c r="BH93" s="161"/>
    </row>
    <row r="94" spans="2:60" ht="11.25" customHeight="1" x14ac:dyDescent="0.2">
      <c r="B94" s="150" t="str">
        <f>IF(Roster!$AO$1=0,"",Roster!$AO$1)</f>
        <v>COST</v>
      </c>
      <c r="C94" s="150"/>
      <c r="D94" s="485"/>
      <c r="E94" s="486"/>
      <c r="F94" s="486"/>
      <c r="G94" s="486"/>
      <c r="H94" s="486"/>
      <c r="I94" s="486"/>
      <c r="J94" s="486"/>
      <c r="K94" s="486"/>
      <c r="L94" s="486"/>
      <c r="M94" s="486"/>
      <c r="N94" s="487"/>
      <c r="O94" s="162"/>
      <c r="Q94" s="150" t="str">
        <f>IF(Roster!$AO$1=0,"",Roster!$AO$1)</f>
        <v>COST</v>
      </c>
      <c r="R94" s="150"/>
      <c r="S94" s="485"/>
      <c r="T94" s="486"/>
      <c r="U94" s="486"/>
      <c r="V94" s="486"/>
      <c r="W94" s="486"/>
      <c r="X94" s="486"/>
      <c r="Y94" s="486"/>
      <c r="Z94" s="486"/>
      <c r="AA94" s="486"/>
      <c r="AB94" s="486"/>
      <c r="AC94" s="487"/>
      <c r="AD94" s="162"/>
      <c r="AF94" s="150" t="str">
        <f>IF(Roster!$AO$1=0,"",Roster!$AO$1)</f>
        <v>COST</v>
      </c>
      <c r="AG94" s="150"/>
      <c r="AH94" s="485"/>
      <c r="AI94" s="486"/>
      <c r="AJ94" s="486"/>
      <c r="AK94" s="486"/>
      <c r="AL94" s="486"/>
      <c r="AM94" s="486"/>
      <c r="AN94" s="486"/>
      <c r="AO94" s="486"/>
      <c r="AP94" s="486"/>
      <c r="AQ94" s="486"/>
      <c r="AR94" s="487"/>
      <c r="AS94" s="162"/>
      <c r="AU94" s="150" t="str">
        <f>IF(Roster!$AO$1=0,"",Roster!$AO$1)</f>
        <v>COST</v>
      </c>
      <c r="AV94" s="150"/>
      <c r="AW94" s="485"/>
      <c r="AX94" s="486"/>
      <c r="AY94" s="486"/>
      <c r="AZ94" s="486"/>
      <c r="BA94" s="486"/>
      <c r="BB94" s="486"/>
      <c r="BC94" s="486"/>
      <c r="BD94" s="486"/>
      <c r="BE94" s="486"/>
      <c r="BF94" s="486"/>
      <c r="BG94" s="487"/>
      <c r="BH94" s="162"/>
    </row>
    <row r="95" spans="2:60" ht="34.5" customHeight="1" x14ac:dyDescent="0.2">
      <c r="B95" s="164">
        <f>IF(Roster!$AO$13=0,"",Roster!$AO$13)</f>
        <v>40000</v>
      </c>
      <c r="C95" s="165"/>
      <c r="D95" s="488"/>
      <c r="E95" s="489"/>
      <c r="F95" s="489"/>
      <c r="G95" s="489"/>
      <c r="H95" s="489"/>
      <c r="I95" s="489"/>
      <c r="J95" s="489"/>
      <c r="K95" s="489"/>
      <c r="L95" s="489"/>
      <c r="M95" s="489"/>
      <c r="N95" s="490"/>
      <c r="O95" s="162"/>
      <c r="Q95" s="164">
        <f>IF(Roster!$AO$14=0,"",Roster!$AO$14)</f>
        <v>150000</v>
      </c>
      <c r="R95" s="165"/>
      <c r="S95" s="488"/>
      <c r="T95" s="489"/>
      <c r="U95" s="489"/>
      <c r="V95" s="489"/>
      <c r="W95" s="489"/>
      <c r="X95" s="489"/>
      <c r="Y95" s="489"/>
      <c r="Z95" s="489"/>
      <c r="AA95" s="489"/>
      <c r="AB95" s="489"/>
      <c r="AC95" s="490"/>
      <c r="AD95" s="162"/>
      <c r="AF95" s="164" t="str">
        <f>IF(Roster!$AO$15=0,"",Roster!$AO$15)</f>
        <v/>
      </c>
      <c r="AG95" s="165"/>
      <c r="AH95" s="488"/>
      <c r="AI95" s="489"/>
      <c r="AJ95" s="489"/>
      <c r="AK95" s="489"/>
      <c r="AL95" s="489"/>
      <c r="AM95" s="489"/>
      <c r="AN95" s="489"/>
      <c r="AO95" s="489"/>
      <c r="AP95" s="489"/>
      <c r="AQ95" s="489"/>
      <c r="AR95" s="490"/>
      <c r="AS95" s="162"/>
      <c r="AU95" s="164" t="str">
        <f>IF(Roster!$AO$16=0,"",Roster!$AO$16)</f>
        <v/>
      </c>
      <c r="AV95" s="165"/>
      <c r="AW95" s="488"/>
      <c r="AX95" s="489"/>
      <c r="AY95" s="489"/>
      <c r="AZ95" s="489"/>
      <c r="BA95" s="489"/>
      <c r="BB95" s="489"/>
      <c r="BC95" s="489"/>
      <c r="BD95" s="489"/>
      <c r="BE95" s="489"/>
      <c r="BF95" s="489"/>
      <c r="BG95" s="490"/>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7" t="str">
        <f>IF(Roster!$A$17=0,"","#"&amp;Roster!$A$17)</f>
        <v>#16</v>
      </c>
      <c r="C98" s="146"/>
      <c r="D98" s="146"/>
      <c r="E98" s="146"/>
      <c r="F98" s="146"/>
      <c r="G98" s="146"/>
      <c r="H98" s="146"/>
      <c r="I98" s="146"/>
      <c r="J98" s="146"/>
      <c r="K98" s="146"/>
      <c r="L98" s="146"/>
      <c r="M98" s="146"/>
      <c r="N98" s="146"/>
      <c r="O98" s="146"/>
      <c r="Q98" s="504"/>
      <c r="R98" s="146"/>
      <c r="S98" s="146"/>
      <c r="T98" s="146"/>
      <c r="U98" s="146"/>
      <c r="V98" s="146"/>
      <c r="W98" s="146"/>
      <c r="X98" s="146"/>
      <c r="Y98" s="146"/>
      <c r="Z98" s="146"/>
      <c r="AA98" s="146"/>
      <c r="AB98" s="146"/>
      <c r="AC98" s="146"/>
      <c r="AD98" s="146"/>
      <c r="AF98" s="504"/>
      <c r="AG98" s="146"/>
      <c r="AH98" s="146"/>
      <c r="AI98" s="146"/>
      <c r="AJ98" s="146"/>
      <c r="AK98" s="146"/>
      <c r="AL98" s="146"/>
      <c r="AM98" s="146"/>
      <c r="AN98" s="146"/>
      <c r="AO98" s="146"/>
      <c r="AP98" s="146"/>
      <c r="AQ98" s="146"/>
      <c r="AR98" s="146"/>
      <c r="AS98" s="146"/>
      <c r="AU98" s="504"/>
      <c r="AV98" s="146"/>
      <c r="AW98" s="146"/>
      <c r="AX98" s="146"/>
      <c r="AY98" s="146"/>
      <c r="AZ98" s="146"/>
      <c r="BA98" s="146"/>
      <c r="BB98" s="146"/>
      <c r="BC98" s="146"/>
      <c r="BD98" s="146"/>
      <c r="BE98" s="146"/>
      <c r="BF98" s="146"/>
      <c r="BG98" s="146"/>
      <c r="BH98" s="146"/>
    </row>
    <row r="99" spans="2:60" ht="15" customHeight="1" x14ac:dyDescent="0.25">
      <c r="B99" s="291"/>
      <c r="C99" s="480" t="str">
        <f>IF(Roster!$B$17=0,"",Roster!$B$17)</f>
        <v/>
      </c>
      <c r="D99" s="304"/>
      <c r="E99" s="304"/>
      <c r="F99" s="304"/>
      <c r="G99" s="304"/>
      <c r="H99" s="304"/>
      <c r="I99" s="304"/>
      <c r="J99" s="304"/>
      <c r="K99" s="304"/>
      <c r="L99" s="304"/>
      <c r="M99" s="304"/>
      <c r="N99" s="305"/>
      <c r="O99" s="146"/>
      <c r="Q99" s="291"/>
      <c r="R99" s="505" t="str">
        <f>IF(Roster!$B$18=0,"","("&amp;Roster!$B$18&amp;")")</f>
        <v>(Star Player &amp; Mercenary)</v>
      </c>
      <c r="S99" s="506"/>
      <c r="T99" s="506"/>
      <c r="U99" s="506"/>
      <c r="V99" s="506"/>
      <c r="W99" s="506"/>
      <c r="X99" s="506"/>
      <c r="Y99" s="506"/>
      <c r="Z99" s="506"/>
      <c r="AA99" s="506"/>
      <c r="AB99" s="506"/>
      <c r="AC99" s="507"/>
      <c r="AD99" s="146"/>
      <c r="AF99" s="291"/>
      <c r="AG99" s="505" t="str">
        <f>IF(Roster!$B$19=0,"","("&amp;Roster!$B$19&amp;")")</f>
        <v>(Star Player &amp; Mercenary)</v>
      </c>
      <c r="AH99" s="506"/>
      <c r="AI99" s="506"/>
      <c r="AJ99" s="506"/>
      <c r="AK99" s="506"/>
      <c r="AL99" s="506"/>
      <c r="AM99" s="506"/>
      <c r="AN99" s="506"/>
      <c r="AO99" s="506"/>
      <c r="AP99" s="506"/>
      <c r="AQ99" s="506"/>
      <c r="AR99" s="507"/>
      <c r="AS99" s="146"/>
      <c r="AU99" s="291"/>
      <c r="AV99" s="505" t="str">
        <f>IF(Roster!$B$20=0,"","("&amp;Roster!$B$20&amp;")")</f>
        <v>(Mercenary)</v>
      </c>
      <c r="AW99" s="506"/>
      <c r="AX99" s="506"/>
      <c r="AY99" s="506"/>
      <c r="AZ99" s="506"/>
      <c r="BA99" s="506"/>
      <c r="BB99" s="506"/>
      <c r="BC99" s="506"/>
      <c r="BD99" s="506"/>
      <c r="BE99" s="506"/>
      <c r="BF99" s="506"/>
      <c r="BG99" s="507"/>
      <c r="BH99" s="146"/>
    </row>
    <row r="100" spans="2:60" ht="11.25" customHeight="1" x14ac:dyDescent="0.2">
      <c r="B100" s="451"/>
      <c r="C100" s="481" t="str">
        <f>IF(Roster!$D$17=0,"",Roster!$D$17)</f>
        <v/>
      </c>
      <c r="D100" s="304"/>
      <c r="E100" s="304"/>
      <c r="F100" s="304"/>
      <c r="G100" s="304"/>
      <c r="H100" s="304"/>
      <c r="I100" s="304"/>
      <c r="J100" s="304"/>
      <c r="K100" s="304"/>
      <c r="L100" s="304"/>
      <c r="M100" s="304"/>
      <c r="N100" s="305"/>
      <c r="O100" s="147"/>
      <c r="Q100" s="451"/>
      <c r="R100" s="508" t="str">
        <f>IF(Roster!$D$18=0,"",Roster!$D$18)</f>
        <v/>
      </c>
      <c r="S100" s="508"/>
      <c r="T100" s="508"/>
      <c r="U100" s="508"/>
      <c r="V100" s="508"/>
      <c r="W100" s="508"/>
      <c r="X100" s="508"/>
      <c r="Y100" s="508"/>
      <c r="Z100" s="508"/>
      <c r="AA100" s="508"/>
      <c r="AB100" s="508"/>
      <c r="AC100" s="508"/>
      <c r="AD100" s="147"/>
      <c r="AF100" s="451"/>
      <c r="AG100" s="503" t="str">
        <f>IF(Roster!$D$19=0,"",Roster!$D$19)</f>
        <v/>
      </c>
      <c r="AH100" s="503"/>
      <c r="AI100" s="503"/>
      <c r="AJ100" s="503"/>
      <c r="AK100" s="503"/>
      <c r="AL100" s="503"/>
      <c r="AM100" s="503"/>
      <c r="AN100" s="503"/>
      <c r="AO100" s="503"/>
      <c r="AP100" s="503"/>
      <c r="AQ100" s="503"/>
      <c r="AR100" s="503"/>
      <c r="AS100" s="147"/>
      <c r="AU100" s="451"/>
      <c r="AV100" s="503" t="str">
        <f>IF(Roster!$D$20=0,"",Roster!$D$20)</f>
        <v/>
      </c>
      <c r="AW100" s="503"/>
      <c r="AX100" s="503"/>
      <c r="AY100" s="503"/>
      <c r="AZ100" s="503"/>
      <c r="BA100" s="503"/>
      <c r="BB100" s="503"/>
      <c r="BC100" s="503"/>
      <c r="BD100" s="503"/>
      <c r="BE100" s="503"/>
      <c r="BF100" s="503"/>
      <c r="BG100" s="503"/>
      <c r="BH100" s="147"/>
    </row>
    <row r="101" spans="2:60" ht="11.25" customHeight="1" x14ac:dyDescent="0.2">
      <c r="B101" s="150" t="str">
        <f>IF(Roster!$K$1=0,"",Roster!$K$1)</f>
        <v>MA</v>
      </c>
      <c r="C101" s="149"/>
      <c r="D101" s="492"/>
      <c r="E101" s="492"/>
      <c r="F101" s="492"/>
      <c r="G101" s="492"/>
      <c r="H101" s="492"/>
      <c r="I101" s="492"/>
      <c r="J101" s="492"/>
      <c r="K101" s="492"/>
      <c r="L101" s="492"/>
      <c r="M101" s="492"/>
      <c r="N101" s="492"/>
      <c r="O101" s="146"/>
      <c r="Q101" s="150" t="str">
        <f>IF(Roster!$K$1=0,"",Roster!$K$1)</f>
        <v>MA</v>
      </c>
      <c r="R101" s="508"/>
      <c r="S101" s="508"/>
      <c r="T101" s="508"/>
      <c r="U101" s="508"/>
      <c r="V101" s="508"/>
      <c r="W101" s="508"/>
      <c r="X101" s="508"/>
      <c r="Y101" s="508"/>
      <c r="Z101" s="508"/>
      <c r="AA101" s="508"/>
      <c r="AB101" s="508"/>
      <c r="AC101" s="508"/>
      <c r="AD101" s="146"/>
      <c r="AF101" s="150" t="str">
        <f>IF(Roster!$K$1=0,"",Roster!$K$1)</f>
        <v>MA</v>
      </c>
      <c r="AG101" s="503"/>
      <c r="AH101" s="503"/>
      <c r="AI101" s="503"/>
      <c r="AJ101" s="503"/>
      <c r="AK101" s="503"/>
      <c r="AL101" s="503"/>
      <c r="AM101" s="503"/>
      <c r="AN101" s="503"/>
      <c r="AO101" s="503"/>
      <c r="AP101" s="503"/>
      <c r="AQ101" s="503"/>
      <c r="AR101" s="503"/>
      <c r="AS101" s="146"/>
      <c r="AU101" s="150" t="str">
        <f>IF(Roster!$K$1=0,"",Roster!$K$1)</f>
        <v>MA</v>
      </c>
      <c r="AV101" s="503"/>
      <c r="AW101" s="503"/>
      <c r="AX101" s="503"/>
      <c r="AY101" s="503"/>
      <c r="AZ101" s="503"/>
      <c r="BA101" s="503"/>
      <c r="BB101" s="503"/>
      <c r="BC101" s="503"/>
      <c r="BD101" s="503"/>
      <c r="BE101" s="503"/>
      <c r="BF101" s="503"/>
      <c r="BG101" s="503"/>
      <c r="BH101" s="146"/>
    </row>
    <row r="102" spans="2:60" ht="37.5" customHeight="1" x14ac:dyDescent="0.2">
      <c r="B102" s="152" t="str">
        <f>IF(Roster!$K$17=0,"",Roster!$K$17)</f>
        <v/>
      </c>
      <c r="C102" s="149"/>
      <c r="D102" s="492"/>
      <c r="E102" s="492"/>
      <c r="F102" s="492"/>
      <c r="G102" s="492"/>
      <c r="H102" s="492"/>
      <c r="I102" s="492"/>
      <c r="J102" s="492"/>
      <c r="K102" s="492"/>
      <c r="L102" s="492"/>
      <c r="M102" s="492"/>
      <c r="N102" s="492"/>
      <c r="O102" s="146"/>
      <c r="Q102" s="152" t="str">
        <f>IF(Roster!$K$18=0,"",Roster!$K$18)</f>
        <v/>
      </c>
      <c r="R102" s="508"/>
      <c r="S102" s="508"/>
      <c r="T102" s="508"/>
      <c r="U102" s="508"/>
      <c r="V102" s="508"/>
      <c r="W102" s="508"/>
      <c r="X102" s="508"/>
      <c r="Y102" s="508"/>
      <c r="Z102" s="508"/>
      <c r="AA102" s="508"/>
      <c r="AB102" s="508"/>
      <c r="AC102" s="508"/>
      <c r="AD102" s="146"/>
      <c r="AF102" s="152" t="str">
        <f>IF(Roster!$K$19=0,"",Roster!$K$19)</f>
        <v/>
      </c>
      <c r="AG102" s="503"/>
      <c r="AH102" s="503"/>
      <c r="AI102" s="503"/>
      <c r="AJ102" s="503"/>
      <c r="AK102" s="503"/>
      <c r="AL102" s="503"/>
      <c r="AM102" s="503"/>
      <c r="AN102" s="503"/>
      <c r="AO102" s="503"/>
      <c r="AP102" s="503"/>
      <c r="AQ102" s="503"/>
      <c r="AR102" s="503"/>
      <c r="AS102" s="146"/>
      <c r="AU102" s="152" t="str">
        <f>IF(Roster!$K$20=0,"",Roster!$K$20)</f>
        <v/>
      </c>
      <c r="AV102" s="503"/>
      <c r="AW102" s="503"/>
      <c r="AX102" s="503"/>
      <c r="AY102" s="503"/>
      <c r="AZ102" s="503"/>
      <c r="BA102" s="503"/>
      <c r="BB102" s="503"/>
      <c r="BC102" s="503"/>
      <c r="BD102" s="503"/>
      <c r="BE102" s="503"/>
      <c r="BF102" s="503"/>
      <c r="BG102" s="503"/>
      <c r="BH102" s="146"/>
    </row>
    <row r="103" spans="2:60" ht="11.25" customHeight="1" x14ac:dyDescent="0.2">
      <c r="B103" s="150" t="str">
        <f>IF(Roster!$L$1=0,"",Roster!$L$1)</f>
        <v>ST</v>
      </c>
      <c r="C103" s="149"/>
      <c r="D103" s="492"/>
      <c r="E103" s="492"/>
      <c r="F103" s="492"/>
      <c r="G103" s="492"/>
      <c r="H103" s="492"/>
      <c r="I103" s="492"/>
      <c r="J103" s="492"/>
      <c r="K103" s="492"/>
      <c r="L103" s="492"/>
      <c r="M103" s="492"/>
      <c r="N103" s="492"/>
      <c r="O103" s="146"/>
      <c r="Q103" s="150" t="str">
        <f>IF(Roster!$L$1=0,"",Roster!$L$1)</f>
        <v>ST</v>
      </c>
      <c r="R103" s="150"/>
      <c r="S103" s="475" t="str">
        <f>IF(Roster!$K$25="Italiano","REGOLE SPECIALI",(IF(Roster!$K$25="Español","REGLA ESPECIAL","SPECIAL RULE")))</f>
        <v>SPECIAL RULE</v>
      </c>
      <c r="T103" s="304"/>
      <c r="U103" s="304"/>
      <c r="V103" s="304"/>
      <c r="W103" s="304"/>
      <c r="X103" s="304"/>
      <c r="Y103" s="304"/>
      <c r="Z103" s="304"/>
      <c r="AA103" s="304"/>
      <c r="AB103" s="304"/>
      <c r="AC103" s="305"/>
      <c r="AD103" s="146"/>
      <c r="AF103" s="150" t="str">
        <f>IF(Roster!$L$1=0,"",Roster!$L$1)</f>
        <v>ST</v>
      </c>
      <c r="AG103" s="195"/>
      <c r="AH103" s="475" t="str">
        <f>IF(Roster!$K$25="Italiano","REGOLE SPECIALI",(IF(Roster!$K$25="Español","REGLA ESPECIAL","SPECIAL RULE")))</f>
        <v>SPECIAL RULE</v>
      </c>
      <c r="AI103" s="304"/>
      <c r="AJ103" s="304"/>
      <c r="AK103" s="304"/>
      <c r="AL103" s="304"/>
      <c r="AM103" s="304"/>
      <c r="AN103" s="304"/>
      <c r="AO103" s="304"/>
      <c r="AP103" s="304"/>
      <c r="AQ103" s="304"/>
      <c r="AR103" s="305"/>
      <c r="AS103" s="146"/>
      <c r="AU103" s="150" t="str">
        <f>IF(Roster!$L$1=0,"",Roster!$L$1)</f>
        <v>ST</v>
      </c>
      <c r="AV103" s="195"/>
      <c r="AW103" s="475" t="str">
        <f>IF(Roster!$K$25="Italiano","REGOLE SPECIALI",(IF(Roster!$K$25="Español","REGLA ESPECIAL","SPECIAL RULE")))</f>
        <v>SPECIAL RULE</v>
      </c>
      <c r="AX103" s="304"/>
      <c r="AY103" s="304"/>
      <c r="AZ103" s="304"/>
      <c r="BA103" s="304"/>
      <c r="BB103" s="304"/>
      <c r="BC103" s="304"/>
      <c r="BD103" s="304"/>
      <c r="BE103" s="304"/>
      <c r="BF103" s="304"/>
      <c r="BG103" s="305"/>
      <c r="BH103" s="146"/>
    </row>
    <row r="104" spans="2:60" ht="37.5" customHeight="1" x14ac:dyDescent="0.2">
      <c r="B104" s="152" t="str">
        <f>IF(Roster!$L$17=0,"",Roster!$L$17)</f>
        <v/>
      </c>
      <c r="C104" s="149"/>
      <c r="D104" s="492"/>
      <c r="E104" s="492"/>
      <c r="F104" s="492"/>
      <c r="G104" s="492"/>
      <c r="H104" s="492"/>
      <c r="I104" s="492"/>
      <c r="J104" s="492"/>
      <c r="K104" s="492"/>
      <c r="L104" s="492"/>
      <c r="M104" s="492"/>
      <c r="N104" s="492"/>
      <c r="O104" s="146"/>
      <c r="Q104" s="152" t="str">
        <f>IF(Roster!$L$18=0,"",Roster!$L$18)</f>
        <v/>
      </c>
      <c r="R104" s="150"/>
      <c r="S104" s="473" t="str">
        <f>IF(Roster!$AA$18=0,"",Roster!$AA$18)</f>
        <v/>
      </c>
      <c r="T104" s="473"/>
      <c r="U104" s="473"/>
      <c r="V104" s="473"/>
      <c r="W104" s="473"/>
      <c r="X104" s="473"/>
      <c r="Y104" s="473"/>
      <c r="Z104" s="473"/>
      <c r="AA104" s="473"/>
      <c r="AB104" s="473"/>
      <c r="AC104" s="473"/>
      <c r="AD104" s="146"/>
      <c r="AF104" s="152" t="str">
        <f>IF(Roster!$L$19=0,"",Roster!$L$19)</f>
        <v/>
      </c>
      <c r="AG104" s="195"/>
      <c r="AH104" s="473" t="str">
        <f>IF(Roster!$AA$19=0,"",Roster!$AA$19)</f>
        <v/>
      </c>
      <c r="AI104" s="473"/>
      <c r="AJ104" s="473"/>
      <c r="AK104" s="473"/>
      <c r="AL104" s="473"/>
      <c r="AM104" s="473"/>
      <c r="AN104" s="473"/>
      <c r="AO104" s="473"/>
      <c r="AP104" s="473"/>
      <c r="AQ104" s="473"/>
      <c r="AR104" s="473"/>
      <c r="AS104" s="146"/>
      <c r="AU104" s="152" t="str">
        <f>IF(Roster!$L$20=0,"",Roster!$L$20)</f>
        <v/>
      </c>
      <c r="AV104" s="195"/>
      <c r="AW104" s="473" t="str">
        <f>IF(Roster!$AA$20=0,"",Roster!$AA$20)</f>
        <v/>
      </c>
      <c r="AX104" s="473"/>
      <c r="AY104" s="473"/>
      <c r="AZ104" s="473"/>
      <c r="BA104" s="473"/>
      <c r="BB104" s="473"/>
      <c r="BC104" s="473"/>
      <c r="BD104" s="473"/>
      <c r="BE104" s="473"/>
      <c r="BF104" s="473"/>
      <c r="BG104" s="473"/>
      <c r="BH104" s="146"/>
    </row>
    <row r="105" spans="2:60" ht="11.25" customHeight="1" x14ac:dyDescent="0.2">
      <c r="B105" s="150" t="str">
        <f>IF(Roster!$M$1=0,"",Roster!$M$1)</f>
        <v>AG</v>
      </c>
      <c r="C105" s="149"/>
      <c r="D105" s="492"/>
      <c r="E105" s="492"/>
      <c r="F105" s="492"/>
      <c r="G105" s="492"/>
      <c r="H105" s="492"/>
      <c r="I105" s="492"/>
      <c r="J105" s="492"/>
      <c r="K105" s="492"/>
      <c r="L105" s="492"/>
      <c r="M105" s="492"/>
      <c r="N105" s="492"/>
      <c r="O105" s="146"/>
      <c r="Q105" s="150" t="str">
        <f>IF(Roster!$M$1=0,"",Roster!$M$1)</f>
        <v>AG</v>
      </c>
      <c r="R105" s="150"/>
      <c r="S105" s="473"/>
      <c r="T105" s="473"/>
      <c r="U105" s="473"/>
      <c r="V105" s="473"/>
      <c r="W105" s="473"/>
      <c r="X105" s="473"/>
      <c r="Y105" s="473"/>
      <c r="Z105" s="473"/>
      <c r="AA105" s="473"/>
      <c r="AB105" s="473"/>
      <c r="AC105" s="473"/>
      <c r="AD105" s="146"/>
      <c r="AF105" s="150" t="str">
        <f>IF(Roster!$M$1=0,"",Roster!$M$1)</f>
        <v>AG</v>
      </c>
      <c r="AG105" s="195"/>
      <c r="AH105" s="473"/>
      <c r="AI105" s="473"/>
      <c r="AJ105" s="473"/>
      <c r="AK105" s="473"/>
      <c r="AL105" s="473"/>
      <c r="AM105" s="473"/>
      <c r="AN105" s="473"/>
      <c r="AO105" s="473"/>
      <c r="AP105" s="473"/>
      <c r="AQ105" s="473"/>
      <c r="AR105" s="473"/>
      <c r="AS105" s="146"/>
      <c r="AU105" s="150" t="str">
        <f>IF(Roster!$M$1=0,"",Roster!$M$1)</f>
        <v>AG</v>
      </c>
      <c r="AV105" s="195"/>
      <c r="AW105" s="473"/>
      <c r="AX105" s="473"/>
      <c r="AY105" s="473"/>
      <c r="AZ105" s="473"/>
      <c r="BA105" s="473"/>
      <c r="BB105" s="473"/>
      <c r="BC105" s="473"/>
      <c r="BD105" s="473"/>
      <c r="BE105" s="473"/>
      <c r="BF105" s="473"/>
      <c r="BG105" s="473"/>
      <c r="BH105" s="146"/>
    </row>
    <row r="106" spans="2:60" ht="37.5" customHeight="1" x14ac:dyDescent="0.2">
      <c r="B106" s="152" t="str">
        <f>IF(Roster!$M$17=0&amp;"+","",Roster!$M$17)</f>
        <v/>
      </c>
      <c r="C106" s="149"/>
      <c r="D106" s="492"/>
      <c r="E106" s="492"/>
      <c r="F106" s="492"/>
      <c r="G106" s="492"/>
      <c r="H106" s="492"/>
      <c r="I106" s="492"/>
      <c r="J106" s="492"/>
      <c r="K106" s="492"/>
      <c r="L106" s="492"/>
      <c r="M106" s="492"/>
      <c r="N106" s="492"/>
      <c r="O106" s="146"/>
      <c r="Q106" s="152" t="str">
        <f>IF(Roster!$M$18=0,"",Roster!$M$18)</f>
        <v/>
      </c>
      <c r="R106" s="150"/>
      <c r="S106" s="473"/>
      <c r="T106" s="473"/>
      <c r="U106" s="473"/>
      <c r="V106" s="473"/>
      <c r="W106" s="473"/>
      <c r="X106" s="473"/>
      <c r="Y106" s="473"/>
      <c r="Z106" s="473"/>
      <c r="AA106" s="473"/>
      <c r="AB106" s="473"/>
      <c r="AC106" s="473"/>
      <c r="AD106" s="146"/>
      <c r="AF106" s="152" t="str">
        <f>IF(Roster!$M$19=0,"",Roster!$M$19)</f>
        <v/>
      </c>
      <c r="AG106" s="195"/>
      <c r="AH106" s="473"/>
      <c r="AI106" s="473"/>
      <c r="AJ106" s="473"/>
      <c r="AK106" s="473"/>
      <c r="AL106" s="473"/>
      <c r="AM106" s="473"/>
      <c r="AN106" s="473"/>
      <c r="AO106" s="473"/>
      <c r="AP106" s="473"/>
      <c r="AQ106" s="473"/>
      <c r="AR106" s="473"/>
      <c r="AS106" s="146"/>
      <c r="AU106" s="152" t="str">
        <f>IF(Roster!$M$20=0,"",Roster!$M$20)</f>
        <v/>
      </c>
      <c r="AV106" s="195"/>
      <c r="AW106" s="473"/>
      <c r="AX106" s="473"/>
      <c r="AY106" s="473"/>
      <c r="AZ106" s="473"/>
      <c r="BA106" s="473"/>
      <c r="BB106" s="473"/>
      <c r="BC106" s="473"/>
      <c r="BD106" s="473"/>
      <c r="BE106" s="473"/>
      <c r="BF106" s="473"/>
      <c r="BG106" s="473"/>
      <c r="BH106" s="146"/>
    </row>
    <row r="107" spans="2:60" ht="11.25" customHeight="1" x14ac:dyDescent="0.2">
      <c r="B107" s="150" t="str">
        <f>IF(Roster!$N$1=0,"",Roster!$N$1)</f>
        <v>PA</v>
      </c>
      <c r="C107" s="149"/>
      <c r="D107" s="492"/>
      <c r="E107" s="492"/>
      <c r="F107" s="492"/>
      <c r="G107" s="492"/>
      <c r="H107" s="492"/>
      <c r="I107" s="492"/>
      <c r="J107" s="492"/>
      <c r="K107" s="492"/>
      <c r="L107" s="492"/>
      <c r="M107" s="492"/>
      <c r="N107" s="492"/>
      <c r="O107" s="155"/>
      <c r="Q107" s="150" t="str">
        <f>IF(Roster!$N$1=0,"",Roster!$N$1)</f>
        <v>PA</v>
      </c>
      <c r="R107" s="150"/>
      <c r="S107" s="473"/>
      <c r="T107" s="473"/>
      <c r="U107" s="473"/>
      <c r="V107" s="473"/>
      <c r="W107" s="473"/>
      <c r="X107" s="473"/>
      <c r="Y107" s="473"/>
      <c r="Z107" s="473"/>
      <c r="AA107" s="473"/>
      <c r="AB107" s="473"/>
      <c r="AC107" s="473"/>
      <c r="AD107" s="155"/>
      <c r="AF107" s="150" t="str">
        <f>IF(Roster!$N$1=0,"",Roster!$N$1)</f>
        <v>PA</v>
      </c>
      <c r="AG107" s="195"/>
      <c r="AH107" s="473"/>
      <c r="AI107" s="473"/>
      <c r="AJ107" s="473"/>
      <c r="AK107" s="473"/>
      <c r="AL107" s="473"/>
      <c r="AM107" s="473"/>
      <c r="AN107" s="473"/>
      <c r="AO107" s="473"/>
      <c r="AP107" s="473"/>
      <c r="AQ107" s="473"/>
      <c r="AR107" s="473"/>
      <c r="AS107" s="155"/>
      <c r="AU107" s="150" t="str">
        <f>IF(Roster!$N$1=0,"",Roster!$N$1)</f>
        <v>PA</v>
      </c>
      <c r="AV107" s="195"/>
      <c r="AW107" s="473"/>
      <c r="AX107" s="473"/>
      <c r="AY107" s="473"/>
      <c r="AZ107" s="473"/>
      <c r="BA107" s="473"/>
      <c r="BB107" s="473"/>
      <c r="BC107" s="473"/>
      <c r="BD107" s="473"/>
      <c r="BE107" s="473"/>
      <c r="BF107" s="473"/>
      <c r="BG107" s="473"/>
      <c r="BH107" s="155"/>
    </row>
    <row r="108" spans="2:60" ht="6" customHeight="1" x14ac:dyDescent="0.2">
      <c r="B108" s="474" t="str">
        <f>IF(Roster!$N$17=0&amp;"+","",Roster!$N$17)</f>
        <v/>
      </c>
      <c r="C108" s="149"/>
      <c r="D108" s="492"/>
      <c r="E108" s="492"/>
      <c r="F108" s="492"/>
      <c r="G108" s="492"/>
      <c r="H108" s="492"/>
      <c r="I108" s="492"/>
      <c r="J108" s="492"/>
      <c r="K108" s="492"/>
      <c r="L108" s="492"/>
      <c r="M108" s="492"/>
      <c r="N108" s="492"/>
      <c r="O108" s="157"/>
      <c r="Q108" s="474" t="str">
        <f>IF(Roster!$N$18=0,"",Roster!$N$18)</f>
        <v/>
      </c>
      <c r="R108" s="150"/>
      <c r="S108" s="473"/>
      <c r="T108" s="473"/>
      <c r="U108" s="473"/>
      <c r="V108" s="473"/>
      <c r="W108" s="473"/>
      <c r="X108" s="473"/>
      <c r="Y108" s="473"/>
      <c r="Z108" s="473"/>
      <c r="AA108" s="473"/>
      <c r="AB108" s="473"/>
      <c r="AC108" s="473"/>
      <c r="AD108" s="157"/>
      <c r="AF108" s="474" t="str">
        <f>IF(Roster!$N$19=0,"",Roster!$N$19)</f>
        <v/>
      </c>
      <c r="AG108" s="196"/>
      <c r="AH108" s="473"/>
      <c r="AI108" s="473"/>
      <c r="AJ108" s="473"/>
      <c r="AK108" s="473"/>
      <c r="AL108" s="473"/>
      <c r="AM108" s="473"/>
      <c r="AN108" s="473"/>
      <c r="AO108" s="473"/>
      <c r="AP108" s="473"/>
      <c r="AQ108" s="473"/>
      <c r="AR108" s="473"/>
      <c r="AS108" s="157"/>
      <c r="AU108" s="474" t="str">
        <f>IF(Roster!$N$20=0,"",Roster!$N$20)</f>
        <v/>
      </c>
      <c r="AV108" s="196"/>
      <c r="AW108" s="473"/>
      <c r="AX108" s="473"/>
      <c r="AY108" s="473"/>
      <c r="AZ108" s="473"/>
      <c r="BA108" s="473"/>
      <c r="BB108" s="473"/>
      <c r="BC108" s="473"/>
      <c r="BD108" s="473"/>
      <c r="BE108" s="473"/>
      <c r="BF108" s="473"/>
      <c r="BG108" s="473"/>
      <c r="BH108" s="157"/>
    </row>
    <row r="109" spans="2:60" ht="4.5" customHeight="1" x14ac:dyDescent="0.2">
      <c r="B109" s="291"/>
      <c r="C109" s="149"/>
      <c r="D109" s="146"/>
      <c r="E109" s="156"/>
      <c r="F109" s="146"/>
      <c r="G109" s="156"/>
      <c r="H109" s="146"/>
      <c r="I109" s="156"/>
      <c r="J109" s="146"/>
      <c r="K109" s="156"/>
      <c r="L109" s="146"/>
      <c r="M109" s="156"/>
      <c r="N109" s="146"/>
      <c r="O109" s="157"/>
      <c r="Q109" s="291"/>
      <c r="R109" s="150"/>
      <c r="S109" s="473"/>
      <c r="T109" s="473"/>
      <c r="U109" s="473"/>
      <c r="V109" s="473"/>
      <c r="W109" s="473"/>
      <c r="X109" s="473"/>
      <c r="Y109" s="473"/>
      <c r="Z109" s="473"/>
      <c r="AA109" s="473"/>
      <c r="AB109" s="473"/>
      <c r="AC109" s="473"/>
      <c r="AD109" s="157"/>
      <c r="AF109" s="291"/>
      <c r="AG109" s="191"/>
      <c r="AH109" s="473"/>
      <c r="AI109" s="473"/>
      <c r="AJ109" s="473"/>
      <c r="AK109" s="473"/>
      <c r="AL109" s="473"/>
      <c r="AM109" s="473"/>
      <c r="AN109" s="473"/>
      <c r="AO109" s="473"/>
      <c r="AP109" s="473"/>
      <c r="AQ109" s="473"/>
      <c r="AR109" s="473"/>
      <c r="AS109" s="157"/>
      <c r="AU109" s="291"/>
      <c r="AV109" s="191"/>
      <c r="AW109" s="473"/>
      <c r="AX109" s="473"/>
      <c r="AY109" s="473"/>
      <c r="AZ109" s="473"/>
      <c r="BA109" s="473"/>
      <c r="BB109" s="473"/>
      <c r="BC109" s="473"/>
      <c r="BD109" s="473"/>
      <c r="BE109" s="473"/>
      <c r="BF109" s="473"/>
      <c r="BG109" s="473"/>
      <c r="BH109" s="157"/>
    </row>
    <row r="110" spans="2:60" ht="11.25" customHeight="1" x14ac:dyDescent="0.2">
      <c r="B110" s="291"/>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1"/>
      <c r="R110" s="150"/>
      <c r="S110" s="473"/>
      <c r="T110" s="473"/>
      <c r="U110" s="473"/>
      <c r="V110" s="473"/>
      <c r="W110" s="473"/>
      <c r="X110" s="473"/>
      <c r="Y110" s="473"/>
      <c r="Z110" s="473"/>
      <c r="AA110" s="473"/>
      <c r="AB110" s="473"/>
      <c r="AC110" s="473"/>
      <c r="AD110" s="157"/>
      <c r="AF110" s="291"/>
      <c r="AG110" s="191"/>
      <c r="AH110" s="473"/>
      <c r="AI110" s="473"/>
      <c r="AJ110" s="473"/>
      <c r="AK110" s="473"/>
      <c r="AL110" s="473"/>
      <c r="AM110" s="473"/>
      <c r="AN110" s="473"/>
      <c r="AO110" s="473"/>
      <c r="AP110" s="473"/>
      <c r="AQ110" s="473"/>
      <c r="AR110" s="473"/>
      <c r="AS110" s="157"/>
      <c r="AU110" s="291"/>
      <c r="AV110" s="191"/>
      <c r="AW110" s="473"/>
      <c r="AX110" s="473"/>
      <c r="AY110" s="473"/>
      <c r="AZ110" s="473"/>
      <c r="BA110" s="473"/>
      <c r="BB110" s="473"/>
      <c r="BC110" s="473"/>
      <c r="BD110" s="473"/>
      <c r="BE110" s="473"/>
      <c r="BF110" s="473"/>
      <c r="BG110" s="473"/>
      <c r="BH110" s="157"/>
    </row>
    <row r="111" spans="2:60" ht="15" customHeight="1" x14ac:dyDescent="0.2">
      <c r="B111" s="291"/>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1"/>
      <c r="R111" s="150"/>
      <c r="S111" s="473"/>
      <c r="T111" s="473"/>
      <c r="U111" s="473"/>
      <c r="V111" s="473"/>
      <c r="W111" s="473"/>
      <c r="X111" s="473"/>
      <c r="Y111" s="473"/>
      <c r="Z111" s="473"/>
      <c r="AA111" s="473"/>
      <c r="AB111" s="473"/>
      <c r="AC111" s="473"/>
      <c r="AD111" s="157"/>
      <c r="AF111" s="291"/>
      <c r="AG111" s="192"/>
      <c r="AH111" s="473"/>
      <c r="AI111" s="473"/>
      <c r="AJ111" s="473"/>
      <c r="AK111" s="473"/>
      <c r="AL111" s="473"/>
      <c r="AM111" s="473"/>
      <c r="AN111" s="473"/>
      <c r="AO111" s="473"/>
      <c r="AP111" s="473"/>
      <c r="AQ111" s="473"/>
      <c r="AR111" s="473"/>
      <c r="AS111" s="157"/>
      <c r="AU111" s="291"/>
      <c r="AV111" s="192"/>
      <c r="AW111" s="473"/>
      <c r="AX111" s="473"/>
      <c r="AY111" s="473"/>
      <c r="AZ111" s="473"/>
      <c r="BA111" s="473"/>
      <c r="BB111" s="473"/>
      <c r="BC111" s="473"/>
      <c r="BD111" s="473"/>
      <c r="BE111" s="473"/>
      <c r="BF111" s="473"/>
      <c r="BG111" s="473"/>
      <c r="BH111" s="157"/>
    </row>
    <row r="112" spans="2:60" ht="4.5" customHeight="1" x14ac:dyDescent="0.2">
      <c r="B112" s="451"/>
      <c r="C112" s="151"/>
      <c r="D112" s="160"/>
      <c r="E112" s="151"/>
      <c r="F112" s="160"/>
      <c r="G112" s="151"/>
      <c r="H112" s="160"/>
      <c r="I112" s="151"/>
      <c r="J112" s="160"/>
      <c r="K112" s="151"/>
      <c r="L112" s="160"/>
      <c r="M112" s="151"/>
      <c r="N112" s="160"/>
      <c r="O112" s="157"/>
      <c r="Q112" s="451"/>
      <c r="R112" s="151"/>
      <c r="S112" s="165"/>
      <c r="T112" s="165"/>
      <c r="U112" s="165"/>
      <c r="V112" s="165"/>
      <c r="W112" s="165"/>
      <c r="X112" s="165"/>
      <c r="Y112" s="165"/>
      <c r="Z112" s="165"/>
      <c r="AA112" s="165"/>
      <c r="AB112" s="165"/>
      <c r="AC112" s="146"/>
      <c r="AD112" s="157"/>
      <c r="AF112" s="451"/>
      <c r="AG112" s="191"/>
      <c r="AH112" s="165"/>
      <c r="AI112" s="165"/>
      <c r="AJ112" s="165"/>
      <c r="AK112" s="165"/>
      <c r="AL112" s="165"/>
      <c r="AM112" s="165"/>
      <c r="AN112" s="165"/>
      <c r="AO112" s="165"/>
      <c r="AP112" s="165"/>
      <c r="AQ112" s="165"/>
      <c r="AR112" s="146"/>
      <c r="AS112" s="157"/>
      <c r="AU112" s="451"/>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5" t="str">
        <f>IF(Roster!$K$25="Italiano","ABILITÀ &amp; TRATTI",(IF(Roster!$K$25="Español","HABILIDADES Y RASGOS","SKILLS &amp; TRAITS")))</f>
        <v>SKILLS &amp; TRAITS</v>
      </c>
      <c r="T113" s="304"/>
      <c r="U113" s="304"/>
      <c r="V113" s="304"/>
      <c r="W113" s="304"/>
      <c r="X113" s="304"/>
      <c r="Y113" s="304"/>
      <c r="Z113" s="304"/>
      <c r="AA113" s="304"/>
      <c r="AB113" s="304"/>
      <c r="AC113" s="305"/>
      <c r="AD113" s="146"/>
      <c r="AF113" s="150" t="str">
        <f>IF(Roster!$O$1=0,"",Roster!$O$1)</f>
        <v>AV</v>
      </c>
      <c r="AG113" s="191"/>
      <c r="AH113" s="475" t="str">
        <f>IF(Roster!$K$25="Italiano","ABILITÀ &amp; TRATTI",(IF(Roster!$K$25="Español","HABILIDADES Y RASGOS","SKILLS &amp; TRAITS")))</f>
        <v>SKILLS &amp; TRAITS</v>
      </c>
      <c r="AI113" s="304"/>
      <c r="AJ113" s="304"/>
      <c r="AK113" s="304"/>
      <c r="AL113" s="304"/>
      <c r="AM113" s="304"/>
      <c r="AN113" s="304"/>
      <c r="AO113" s="304"/>
      <c r="AP113" s="304"/>
      <c r="AQ113" s="304"/>
      <c r="AR113" s="305"/>
      <c r="AS113" s="146"/>
      <c r="AU113" s="150" t="str">
        <f>IF(Roster!$O$1=0,"",Roster!$O$1)</f>
        <v>AV</v>
      </c>
      <c r="AV113" s="191"/>
      <c r="AW113" s="475" t="str">
        <f>IF(Roster!$K$25="Italiano","ABILITÀ &amp; TRATTI",(IF(Roster!$K$25="Español","HABILIDADES Y RASGOS","SKILLS &amp; TRAITS")))</f>
        <v>SKILLS &amp; TRAITS</v>
      </c>
      <c r="AX113" s="304"/>
      <c r="AY113" s="304"/>
      <c r="AZ113" s="304"/>
      <c r="BA113" s="304"/>
      <c r="BB113" s="304"/>
      <c r="BC113" s="304"/>
      <c r="BD113" s="304"/>
      <c r="BE113" s="304"/>
      <c r="BF113" s="304"/>
      <c r="BG113" s="305"/>
      <c r="BH113" s="146"/>
    </row>
    <row r="114" spans="2:60" ht="15" customHeight="1" x14ac:dyDescent="0.2">
      <c r="B114" s="474"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4" t="str">
        <f>IF(Roster!$O$18=0,"",Roster!$O$18)</f>
        <v/>
      </c>
      <c r="R114" s="150"/>
      <c r="S114" s="476" t="str">
        <f>IF(Roster!$P$18=0,"",Roster!$P$18)</f>
        <v/>
      </c>
      <c r="T114" s="476"/>
      <c r="U114" s="476"/>
      <c r="V114" s="476"/>
      <c r="W114" s="476"/>
      <c r="X114" s="476"/>
      <c r="Y114" s="476"/>
      <c r="Z114" s="476"/>
      <c r="AA114" s="476"/>
      <c r="AB114" s="476"/>
      <c r="AC114" s="476"/>
      <c r="AD114" s="161"/>
      <c r="AF114" s="474" t="str">
        <f>IF(Roster!$O$19=0,"",Roster!$O$19)</f>
        <v/>
      </c>
      <c r="AG114" s="192"/>
      <c r="AH114" s="476" t="str">
        <f>IF(Roster!$P$19=0,"",Roster!$P$19)</f>
        <v/>
      </c>
      <c r="AI114" s="476"/>
      <c r="AJ114" s="476"/>
      <c r="AK114" s="476"/>
      <c r="AL114" s="476"/>
      <c r="AM114" s="476"/>
      <c r="AN114" s="476"/>
      <c r="AO114" s="476"/>
      <c r="AP114" s="476"/>
      <c r="AQ114" s="476"/>
      <c r="AR114" s="476"/>
      <c r="AS114" s="161"/>
      <c r="AU114" s="474" t="str">
        <f>IF(Roster!$O$20=0,"",Roster!$O$20)</f>
        <v/>
      </c>
      <c r="AV114" s="192"/>
      <c r="AW114" s="476" t="str">
        <f>IF(Roster!$P$20=0,"",Roster!$P$20)</f>
        <v/>
      </c>
      <c r="AX114" s="476"/>
      <c r="AY114" s="476"/>
      <c r="AZ114" s="476"/>
      <c r="BA114" s="476"/>
      <c r="BB114" s="476"/>
      <c r="BC114" s="476"/>
      <c r="BD114" s="476"/>
      <c r="BE114" s="476"/>
      <c r="BF114" s="476"/>
      <c r="BG114" s="476"/>
      <c r="BH114" s="161"/>
    </row>
    <row r="115" spans="2:60" ht="4.5" customHeight="1" x14ac:dyDescent="0.2">
      <c r="B115" s="291"/>
      <c r="C115" s="151"/>
      <c r="D115" s="151"/>
      <c r="E115" s="151"/>
      <c r="F115" s="151"/>
      <c r="G115" s="151"/>
      <c r="H115" s="151"/>
      <c r="I115" s="151"/>
      <c r="J115" s="151"/>
      <c r="K115" s="151"/>
      <c r="L115" s="151"/>
      <c r="M115" s="151"/>
      <c r="N115" s="157"/>
      <c r="O115" s="161"/>
      <c r="Q115" s="291"/>
      <c r="R115" s="165"/>
      <c r="S115" s="476"/>
      <c r="T115" s="476"/>
      <c r="U115" s="476"/>
      <c r="V115" s="476"/>
      <c r="W115" s="476"/>
      <c r="X115" s="476"/>
      <c r="Y115" s="476"/>
      <c r="Z115" s="476"/>
      <c r="AA115" s="476"/>
      <c r="AB115" s="476"/>
      <c r="AC115" s="476"/>
      <c r="AD115" s="161"/>
      <c r="AF115" s="291"/>
      <c r="AG115" s="193"/>
      <c r="AH115" s="476"/>
      <c r="AI115" s="476"/>
      <c r="AJ115" s="476"/>
      <c r="AK115" s="476"/>
      <c r="AL115" s="476"/>
      <c r="AM115" s="476"/>
      <c r="AN115" s="476"/>
      <c r="AO115" s="476"/>
      <c r="AP115" s="476"/>
      <c r="AQ115" s="476"/>
      <c r="AR115" s="476"/>
      <c r="AS115" s="161"/>
      <c r="AU115" s="291"/>
      <c r="AV115" s="193"/>
      <c r="AW115" s="476"/>
      <c r="AX115" s="476"/>
      <c r="AY115" s="476"/>
      <c r="AZ115" s="476"/>
      <c r="BA115" s="476"/>
      <c r="BB115" s="476"/>
      <c r="BC115" s="476"/>
      <c r="BD115" s="476"/>
      <c r="BE115" s="476"/>
      <c r="BF115" s="476"/>
      <c r="BG115" s="476"/>
      <c r="BH115" s="161"/>
    </row>
    <row r="116" spans="2:60" ht="11.25" customHeight="1" x14ac:dyDescent="0.2">
      <c r="B116" s="291"/>
      <c r="C116" s="151"/>
      <c r="D116" s="475" t="str">
        <f>IF(Roster!$K$25="Italiano","ABILITÀ &amp; TRATTI",(IF(Roster!$K$25="Español","HABILIDADES Y RASGOS","SKILLS &amp; TRAITS")))</f>
        <v>SKILLS &amp; TRAITS</v>
      </c>
      <c r="E116" s="304"/>
      <c r="F116" s="304"/>
      <c r="G116" s="304"/>
      <c r="H116" s="304"/>
      <c r="I116" s="304"/>
      <c r="J116" s="304"/>
      <c r="K116" s="304"/>
      <c r="L116" s="304"/>
      <c r="M116" s="304"/>
      <c r="N116" s="305"/>
      <c r="O116" s="161"/>
      <c r="Q116" s="291"/>
      <c r="R116" s="146"/>
      <c r="S116" s="476"/>
      <c r="T116" s="476"/>
      <c r="U116" s="476"/>
      <c r="V116" s="476"/>
      <c r="W116" s="476"/>
      <c r="X116" s="476"/>
      <c r="Y116" s="476"/>
      <c r="Z116" s="476"/>
      <c r="AA116" s="476"/>
      <c r="AB116" s="476"/>
      <c r="AC116" s="476"/>
      <c r="AD116" s="161"/>
      <c r="AF116" s="291"/>
      <c r="AG116" s="194"/>
      <c r="AH116" s="476"/>
      <c r="AI116" s="476"/>
      <c r="AJ116" s="476"/>
      <c r="AK116" s="476"/>
      <c r="AL116" s="476"/>
      <c r="AM116" s="476"/>
      <c r="AN116" s="476"/>
      <c r="AO116" s="476"/>
      <c r="AP116" s="476"/>
      <c r="AQ116" s="476"/>
      <c r="AR116" s="476"/>
      <c r="AS116" s="161"/>
      <c r="AU116" s="291"/>
      <c r="AV116" s="194"/>
      <c r="AW116" s="476"/>
      <c r="AX116" s="476"/>
      <c r="AY116" s="476"/>
      <c r="AZ116" s="476"/>
      <c r="BA116" s="476"/>
      <c r="BB116" s="476"/>
      <c r="BC116" s="476"/>
      <c r="BD116" s="476"/>
      <c r="BE116" s="476"/>
      <c r="BF116" s="476"/>
      <c r="BG116" s="476"/>
      <c r="BH116" s="161"/>
    </row>
    <row r="117" spans="2:60" ht="6.75" customHeight="1" x14ac:dyDescent="0.2">
      <c r="B117" s="451"/>
      <c r="C117" s="151"/>
      <c r="D117" s="482" t="str">
        <f>IF(Roster!$P$17=0&amp;BF17,"",Roster!$P$17)</f>
        <v/>
      </c>
      <c r="E117" s="483"/>
      <c r="F117" s="483"/>
      <c r="G117" s="483"/>
      <c r="H117" s="483"/>
      <c r="I117" s="483"/>
      <c r="J117" s="483"/>
      <c r="K117" s="483"/>
      <c r="L117" s="483"/>
      <c r="M117" s="483"/>
      <c r="N117" s="484"/>
      <c r="O117" s="161"/>
      <c r="Q117" s="451"/>
      <c r="R117" s="166"/>
      <c r="S117" s="476"/>
      <c r="T117" s="476"/>
      <c r="U117" s="476"/>
      <c r="V117" s="476"/>
      <c r="W117" s="476"/>
      <c r="X117" s="476"/>
      <c r="Y117" s="476"/>
      <c r="Z117" s="476"/>
      <c r="AA117" s="476"/>
      <c r="AB117" s="476"/>
      <c r="AC117" s="476"/>
      <c r="AD117" s="161"/>
      <c r="AF117" s="451"/>
      <c r="AG117" s="166"/>
      <c r="AH117" s="476"/>
      <c r="AI117" s="476"/>
      <c r="AJ117" s="476"/>
      <c r="AK117" s="476"/>
      <c r="AL117" s="476"/>
      <c r="AM117" s="476"/>
      <c r="AN117" s="476"/>
      <c r="AO117" s="476"/>
      <c r="AP117" s="476"/>
      <c r="AQ117" s="476"/>
      <c r="AR117" s="476"/>
      <c r="AS117" s="161"/>
      <c r="AU117" s="451"/>
      <c r="AV117" s="166"/>
      <c r="AW117" s="476"/>
      <c r="AX117" s="476"/>
      <c r="AY117" s="476"/>
      <c r="AZ117" s="476"/>
      <c r="BA117" s="476"/>
      <c r="BB117" s="476"/>
      <c r="BC117" s="476"/>
      <c r="BD117" s="476"/>
      <c r="BE117" s="476"/>
      <c r="BF117" s="476"/>
      <c r="BG117" s="476"/>
      <c r="BH117" s="161"/>
    </row>
    <row r="118" spans="2:60" ht="11.25" customHeight="1" x14ac:dyDescent="0.2">
      <c r="B118" s="150" t="str">
        <f>IF(Roster!$AO$1=0,"",Roster!$AO$1)</f>
        <v>COST</v>
      </c>
      <c r="C118" s="150"/>
      <c r="D118" s="485"/>
      <c r="E118" s="486"/>
      <c r="F118" s="486"/>
      <c r="G118" s="486"/>
      <c r="H118" s="486"/>
      <c r="I118" s="486"/>
      <c r="J118" s="486"/>
      <c r="K118" s="486"/>
      <c r="L118" s="486"/>
      <c r="M118" s="486"/>
      <c r="N118" s="487"/>
      <c r="O118" s="162"/>
      <c r="Q118" s="150" t="str">
        <f>IF(Roster!$AO$1=0,"",Roster!$AO$1)</f>
        <v>COST</v>
      </c>
      <c r="R118" s="166"/>
      <c r="S118" s="476"/>
      <c r="T118" s="476"/>
      <c r="U118" s="476"/>
      <c r="V118" s="476"/>
      <c r="W118" s="476"/>
      <c r="X118" s="476"/>
      <c r="Y118" s="476"/>
      <c r="Z118" s="476"/>
      <c r="AA118" s="476"/>
      <c r="AB118" s="476"/>
      <c r="AC118" s="476"/>
      <c r="AD118" s="162"/>
      <c r="AF118" s="150" t="str">
        <f>IF(Roster!$AO$1=0,"",Roster!$AO$1)</f>
        <v>COST</v>
      </c>
      <c r="AG118" s="166"/>
      <c r="AH118" s="476"/>
      <c r="AI118" s="476"/>
      <c r="AJ118" s="476"/>
      <c r="AK118" s="476"/>
      <c r="AL118" s="476"/>
      <c r="AM118" s="476"/>
      <c r="AN118" s="476"/>
      <c r="AO118" s="476"/>
      <c r="AP118" s="476"/>
      <c r="AQ118" s="476"/>
      <c r="AR118" s="476"/>
      <c r="AS118" s="162"/>
      <c r="AU118" s="150" t="str">
        <f>IF(Roster!$AO$1=0,"",Roster!$AO$1)</f>
        <v>COST</v>
      </c>
      <c r="AV118" s="166"/>
      <c r="AW118" s="476"/>
      <c r="AX118" s="476"/>
      <c r="AY118" s="476"/>
      <c r="AZ118" s="476"/>
      <c r="BA118" s="476"/>
      <c r="BB118" s="476"/>
      <c r="BC118" s="476"/>
      <c r="BD118" s="476"/>
      <c r="BE118" s="476"/>
      <c r="BF118" s="476"/>
      <c r="BG118" s="476"/>
      <c r="BH118" s="162"/>
    </row>
    <row r="119" spans="2:60" ht="34.5" customHeight="1" x14ac:dyDescent="0.2">
      <c r="B119" s="164" t="str">
        <f>IF(Roster!$AO$17=0,"",Roster!$AO$17)</f>
        <v/>
      </c>
      <c r="C119" s="165"/>
      <c r="D119" s="488"/>
      <c r="E119" s="489"/>
      <c r="F119" s="489"/>
      <c r="G119" s="489"/>
      <c r="H119" s="489"/>
      <c r="I119" s="489"/>
      <c r="J119" s="489"/>
      <c r="K119" s="489"/>
      <c r="L119" s="489"/>
      <c r="M119" s="489"/>
      <c r="N119" s="490"/>
      <c r="O119" s="162"/>
      <c r="Q119" s="164" t="str">
        <f>IF(Roster!$AO$18=0,"",Roster!$AO$18)</f>
        <v/>
      </c>
      <c r="R119" s="166"/>
      <c r="S119" s="476"/>
      <c r="T119" s="476"/>
      <c r="U119" s="476"/>
      <c r="V119" s="476"/>
      <c r="W119" s="476"/>
      <c r="X119" s="476"/>
      <c r="Y119" s="476"/>
      <c r="Z119" s="476"/>
      <c r="AA119" s="476"/>
      <c r="AB119" s="476"/>
      <c r="AC119" s="476"/>
      <c r="AD119" s="162"/>
      <c r="AF119" s="164" t="str">
        <f>IF(Roster!$AO$19=0,"",Roster!$AO$19)</f>
        <v/>
      </c>
      <c r="AG119" s="166"/>
      <c r="AH119" s="476"/>
      <c r="AI119" s="476"/>
      <c r="AJ119" s="476"/>
      <c r="AK119" s="476"/>
      <c r="AL119" s="476"/>
      <c r="AM119" s="476"/>
      <c r="AN119" s="476"/>
      <c r="AO119" s="476"/>
      <c r="AP119" s="476"/>
      <c r="AQ119" s="476"/>
      <c r="AR119" s="476"/>
      <c r="AS119" s="162"/>
      <c r="AU119" s="164" t="str">
        <f>IF(Roster!$AO$20=0,"",Roster!$AO$20)</f>
        <v/>
      </c>
      <c r="AV119" s="166"/>
      <c r="AW119" s="476"/>
      <c r="AX119" s="476"/>
      <c r="AY119" s="476"/>
      <c r="AZ119" s="476"/>
      <c r="BA119" s="476"/>
      <c r="BB119" s="476"/>
      <c r="BC119" s="476"/>
      <c r="BD119" s="476"/>
      <c r="BE119" s="476"/>
      <c r="BF119" s="476"/>
      <c r="BG119" s="476"/>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14"/>
      <c r="C2" s="167"/>
      <c r="D2" s="167"/>
      <c r="E2" s="167"/>
      <c r="F2" s="167"/>
      <c r="G2" s="167"/>
      <c r="H2" s="167"/>
      <c r="I2" s="167"/>
      <c r="J2" s="167"/>
      <c r="K2" s="167"/>
      <c r="L2" s="167"/>
      <c r="M2" s="167"/>
      <c r="N2" s="167"/>
      <c r="O2" s="168"/>
      <c r="Q2" s="514" t="str">
        <f>IF(Roster!$A$2=0,"","#"&amp;Roster!$A$2)</f>
        <v>#1</v>
      </c>
      <c r="R2" s="167"/>
      <c r="S2" s="167"/>
      <c r="T2" s="167"/>
      <c r="U2" s="167"/>
      <c r="V2" s="167"/>
      <c r="W2" s="167"/>
      <c r="X2" s="167"/>
      <c r="Y2" s="167"/>
      <c r="Z2" s="167"/>
      <c r="AA2" s="167"/>
      <c r="AB2" s="167"/>
      <c r="AC2" s="167"/>
      <c r="AD2" s="168"/>
      <c r="AF2" s="514" t="str">
        <f>IF(Roster!$A$3=0,"","#"&amp;Roster!$A$3)</f>
        <v>#2</v>
      </c>
      <c r="AG2" s="167"/>
      <c r="AH2" s="167"/>
      <c r="AI2" s="167"/>
      <c r="AJ2" s="167"/>
      <c r="AK2" s="167"/>
      <c r="AL2" s="167"/>
      <c r="AM2" s="167"/>
      <c r="AN2" s="167"/>
      <c r="AO2" s="167"/>
      <c r="AP2" s="167"/>
      <c r="AQ2" s="167"/>
      <c r="AR2" s="167"/>
      <c r="AS2" s="168"/>
      <c r="AU2" s="514" t="str">
        <f>IF(Roster!$A$4=0,"","#"&amp;Roster!$A$4)</f>
        <v>#3</v>
      </c>
      <c r="AV2" s="167"/>
      <c r="AW2" s="167"/>
      <c r="AX2" s="167"/>
      <c r="AY2" s="167"/>
      <c r="AZ2" s="167"/>
      <c r="BA2" s="167"/>
      <c r="BB2" s="167"/>
      <c r="BC2" s="167"/>
      <c r="BD2" s="167"/>
      <c r="BE2" s="167"/>
      <c r="BF2" s="167"/>
      <c r="BG2" s="167"/>
      <c r="BH2" s="168"/>
    </row>
    <row r="3" spans="2:60" ht="15" customHeight="1" x14ac:dyDescent="0.25">
      <c r="B3" s="515"/>
      <c r="C3" s="537" t="str">
        <f>IF(Roster!$K$24=0,Roster!$D$24,Roster!$K$24)</f>
        <v>Paride</v>
      </c>
      <c r="D3" s="304"/>
      <c r="E3" s="304"/>
      <c r="F3" s="304"/>
      <c r="G3" s="304"/>
      <c r="H3" s="304"/>
      <c r="I3" s="304"/>
      <c r="J3" s="304"/>
      <c r="K3" s="304"/>
      <c r="L3" s="304"/>
      <c r="M3" s="304"/>
      <c r="N3" s="305"/>
      <c r="O3" s="169"/>
      <c r="Q3" s="515"/>
      <c r="R3" s="537" t="str">
        <f>IF(Roster!$B$2=0,"",Roster!$B$2)</f>
        <v>Guttur</v>
      </c>
      <c r="S3" s="304"/>
      <c r="T3" s="304"/>
      <c r="U3" s="304"/>
      <c r="V3" s="304"/>
      <c r="W3" s="304"/>
      <c r="X3" s="304"/>
      <c r="Y3" s="304"/>
      <c r="Z3" s="304"/>
      <c r="AA3" s="304"/>
      <c r="AB3" s="304"/>
      <c r="AC3" s="305"/>
      <c r="AD3" s="169"/>
      <c r="AF3" s="515"/>
      <c r="AG3" s="537" t="str">
        <f>IF(Roster!$B$3=0,"",Roster!$B$3)</f>
        <v>Asher</v>
      </c>
      <c r="AH3" s="304"/>
      <c r="AI3" s="304"/>
      <c r="AJ3" s="304"/>
      <c r="AK3" s="304"/>
      <c r="AL3" s="304"/>
      <c r="AM3" s="304"/>
      <c r="AN3" s="304"/>
      <c r="AO3" s="304"/>
      <c r="AP3" s="304"/>
      <c r="AQ3" s="304"/>
      <c r="AR3" s="305"/>
      <c r="AS3" s="169"/>
      <c r="AU3" s="515"/>
      <c r="AV3" s="537" t="str">
        <f>IF(Roster!$B$4=0,"",Roster!$B$4)</f>
        <v>Rancor</v>
      </c>
      <c r="AW3" s="304"/>
      <c r="AX3" s="304"/>
      <c r="AY3" s="304"/>
      <c r="AZ3" s="304"/>
      <c r="BA3" s="304"/>
      <c r="BB3" s="304"/>
      <c r="BC3" s="304"/>
      <c r="BD3" s="304"/>
      <c r="BE3" s="304"/>
      <c r="BF3" s="304"/>
      <c r="BG3" s="305"/>
      <c r="BH3" s="169"/>
    </row>
    <row r="4" spans="2:60" ht="11.25" customHeight="1" x14ac:dyDescent="0.2">
      <c r="B4" s="515"/>
      <c r="C4" s="517" t="str">
        <f>IF(Roster!$K$21="SPONSORS",Roster!$K$23,Roster!$K$23&amp;"; Sponsor: "&amp;Roster!$K$21)</f>
        <v>Chaos Dwarf GW</v>
      </c>
      <c r="D4" s="304"/>
      <c r="E4" s="304"/>
      <c r="F4" s="304"/>
      <c r="G4" s="304"/>
      <c r="H4" s="304"/>
      <c r="I4" s="304"/>
      <c r="J4" s="304"/>
      <c r="K4" s="304"/>
      <c r="L4" s="304"/>
      <c r="M4" s="304"/>
      <c r="N4" s="305"/>
      <c r="O4" s="170"/>
      <c r="Q4" s="516"/>
      <c r="R4" s="517" t="str">
        <f>IF(Roster!$D$2=0,"",Roster!$D$2)</f>
        <v>Bull Centaur Blitzer</v>
      </c>
      <c r="S4" s="304"/>
      <c r="T4" s="304"/>
      <c r="U4" s="304"/>
      <c r="V4" s="304"/>
      <c r="W4" s="304"/>
      <c r="X4" s="304"/>
      <c r="Y4" s="304"/>
      <c r="Z4" s="304"/>
      <c r="AA4" s="304"/>
      <c r="AB4" s="304"/>
      <c r="AC4" s="305"/>
      <c r="AD4" s="170"/>
      <c r="AF4" s="516"/>
      <c r="AG4" s="517" t="str">
        <f>IF(Roster!$D$3=0,"",Roster!$D$3)</f>
        <v>Bull Centaur Blitzer</v>
      </c>
      <c r="AH4" s="304"/>
      <c r="AI4" s="304"/>
      <c r="AJ4" s="304"/>
      <c r="AK4" s="304"/>
      <c r="AL4" s="304"/>
      <c r="AM4" s="304"/>
      <c r="AN4" s="304"/>
      <c r="AO4" s="304"/>
      <c r="AP4" s="304"/>
      <c r="AQ4" s="304"/>
      <c r="AR4" s="305"/>
      <c r="AS4" s="170"/>
      <c r="AU4" s="516"/>
      <c r="AV4" s="517" t="str">
        <f>IF(Roster!$D$4=0,"",Roster!$D$4)</f>
        <v>Chaos Dwarf Blocker</v>
      </c>
      <c r="AW4" s="304"/>
      <c r="AX4" s="304"/>
      <c r="AY4" s="304"/>
      <c r="AZ4" s="304"/>
      <c r="BA4" s="304"/>
      <c r="BB4" s="304"/>
      <c r="BC4" s="304"/>
      <c r="BD4" s="304"/>
      <c r="BE4" s="304"/>
      <c r="BF4" s="304"/>
      <c r="BG4" s="305"/>
      <c r="BH4" s="170"/>
    </row>
    <row r="5" spans="2:60" ht="11.25" customHeight="1" x14ac:dyDescent="0.2">
      <c r="B5" s="516"/>
      <c r="C5" s="171"/>
      <c r="D5" s="517" t="str">
        <f>IF(Roster!$D$32=0,"",Roster!$D$32)</f>
        <v>TEAM VALUE</v>
      </c>
      <c r="E5" s="304"/>
      <c r="F5" s="305"/>
      <c r="G5" s="172"/>
      <c r="H5" s="517" t="str">
        <f>IF(Roster!$D$26=0,"",Roster!$D$26)</f>
        <v>TEAM NAME</v>
      </c>
      <c r="I5" s="304"/>
      <c r="J5" s="305"/>
      <c r="K5" s="172"/>
      <c r="L5" s="517" t="str">
        <f>IF(Roster!$AE$21=0,"",Roster!$AE$21)</f>
        <v>TOTAL REROLLS</v>
      </c>
      <c r="M5" s="304"/>
      <c r="N5" s="305"/>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1" t="str">
        <f>IF(Roster!$K$22=0,"",Roster!$K$22)</f>
        <v>STADIUM</v>
      </c>
      <c r="C6" s="175"/>
      <c r="D6" s="560">
        <f>Roster!$K$32</f>
        <v>1200</v>
      </c>
      <c r="E6" s="301"/>
      <c r="F6" s="302"/>
      <c r="G6" s="172"/>
      <c r="H6" s="560" t="str">
        <f>IF(Roster!$K$26=0,"",Roster!$K$26)</f>
        <v>Six Feet Unders</v>
      </c>
      <c r="I6" s="301"/>
      <c r="J6" s="302"/>
      <c r="K6" s="172"/>
      <c r="L6" s="560">
        <f>Roster!$AJ$22</f>
        <v>3</v>
      </c>
      <c r="M6" s="301"/>
      <c r="N6" s="302"/>
      <c r="O6" s="169"/>
      <c r="Q6" s="176">
        <f>IF(Roster!$K$2=0,"",Roster!$K$2)</f>
        <v>6</v>
      </c>
      <c r="R6" s="174"/>
      <c r="S6" s="547"/>
      <c r="T6" s="548"/>
      <c r="U6" s="548"/>
      <c r="V6" s="548"/>
      <c r="W6" s="548"/>
      <c r="X6" s="548"/>
      <c r="Y6" s="548"/>
      <c r="Z6" s="548"/>
      <c r="AA6" s="548"/>
      <c r="AB6" s="548"/>
      <c r="AC6" s="549"/>
      <c r="AD6" s="169"/>
      <c r="AF6" s="176">
        <f>IF(Roster!$K$3=0,"",Roster!$K$3)</f>
        <v>6</v>
      </c>
      <c r="AG6" s="174"/>
      <c r="AH6" s="538"/>
      <c r="AI6" s="539"/>
      <c r="AJ6" s="539"/>
      <c r="AK6" s="539"/>
      <c r="AL6" s="539"/>
      <c r="AM6" s="539"/>
      <c r="AN6" s="539"/>
      <c r="AO6" s="539"/>
      <c r="AP6" s="539"/>
      <c r="AQ6" s="539"/>
      <c r="AR6" s="540"/>
      <c r="AS6" s="169"/>
      <c r="AU6" s="176">
        <f>IF(Roster!$K$4=0,"",Roster!$K$4)</f>
        <v>4</v>
      </c>
      <c r="AV6" s="174"/>
      <c r="AW6" s="538"/>
      <c r="AX6" s="539"/>
      <c r="AY6" s="539"/>
      <c r="AZ6" s="539"/>
      <c r="BA6" s="539"/>
      <c r="BB6" s="539"/>
      <c r="BC6" s="539"/>
      <c r="BD6" s="539"/>
      <c r="BE6" s="539"/>
      <c r="BF6" s="539"/>
      <c r="BG6" s="540"/>
      <c r="BH6" s="169"/>
    </row>
    <row r="7" spans="2:60" ht="11.25" customHeight="1" x14ac:dyDescent="0.2">
      <c r="B7" s="515"/>
      <c r="C7" s="174"/>
      <c r="D7" s="517" t="str">
        <f>IF(Roster!$S$22=0,"",Roster!$S$22)</f>
        <v>APOTHECARY</v>
      </c>
      <c r="E7" s="304"/>
      <c r="F7" s="305"/>
      <c r="G7" s="172"/>
      <c r="H7" s="517" t="str">
        <f>IF(Roster!$S$23=0,"",Roster!$S$23)</f>
        <v>CHEERLEADERS</v>
      </c>
      <c r="I7" s="304"/>
      <c r="J7" s="305"/>
      <c r="K7" s="172"/>
      <c r="L7" s="517" t="str">
        <f>IF(Roster!$S$24=0,"",Roster!$S$24)</f>
        <v>ASSISTANT COACHES</v>
      </c>
      <c r="M7" s="304"/>
      <c r="N7" s="305"/>
      <c r="O7" s="169"/>
      <c r="Q7" s="173" t="str">
        <f>IF(Roster!$L$1=0,"",Roster!$L$1)</f>
        <v>ST</v>
      </c>
      <c r="R7" s="174"/>
      <c r="S7" s="550"/>
      <c r="T7" s="551"/>
      <c r="U7" s="551"/>
      <c r="V7" s="551"/>
      <c r="W7" s="551"/>
      <c r="X7" s="551"/>
      <c r="Y7" s="551"/>
      <c r="Z7" s="551"/>
      <c r="AA7" s="551"/>
      <c r="AB7" s="551"/>
      <c r="AC7" s="552"/>
      <c r="AD7" s="169"/>
      <c r="AF7" s="173" t="str">
        <f>IF(Roster!$L$1=0,"",Roster!$L$1)</f>
        <v>ST</v>
      </c>
      <c r="AG7" s="174"/>
      <c r="AH7" s="541"/>
      <c r="AI7" s="542"/>
      <c r="AJ7" s="542"/>
      <c r="AK7" s="542"/>
      <c r="AL7" s="542"/>
      <c r="AM7" s="542"/>
      <c r="AN7" s="542"/>
      <c r="AO7" s="542"/>
      <c r="AP7" s="542"/>
      <c r="AQ7" s="542"/>
      <c r="AR7" s="543"/>
      <c r="AS7" s="169"/>
      <c r="AU7" s="173" t="str">
        <f>IF(Roster!$L$1=0,"",Roster!$L$1)</f>
        <v>ST</v>
      </c>
      <c r="AV7" s="174"/>
      <c r="AW7" s="541"/>
      <c r="AX7" s="542"/>
      <c r="AY7" s="542"/>
      <c r="AZ7" s="542"/>
      <c r="BA7" s="542"/>
      <c r="BB7" s="542"/>
      <c r="BC7" s="542"/>
      <c r="BD7" s="542"/>
      <c r="BE7" s="542"/>
      <c r="BF7" s="542"/>
      <c r="BG7" s="543"/>
      <c r="BH7" s="169"/>
    </row>
    <row r="8" spans="2:60" ht="37.5" customHeight="1" x14ac:dyDescent="0.2">
      <c r="B8" s="515"/>
      <c r="C8" s="177"/>
      <c r="D8" s="560">
        <f>Roster!$X$22</f>
        <v>0</v>
      </c>
      <c r="E8" s="301"/>
      <c r="F8" s="302"/>
      <c r="G8" s="172"/>
      <c r="H8" s="560">
        <f>Roster!$X$23</f>
        <v>0</v>
      </c>
      <c r="I8" s="301"/>
      <c r="J8" s="302"/>
      <c r="K8" s="172"/>
      <c r="L8" s="560">
        <f>Roster!$X$24</f>
        <v>0</v>
      </c>
      <c r="M8" s="301"/>
      <c r="N8" s="302"/>
      <c r="O8" s="169"/>
      <c r="Q8" s="176">
        <f>IF(Roster!$L$2=0,"",Roster!$L$2)</f>
        <v>4</v>
      </c>
      <c r="R8" s="174"/>
      <c r="S8" s="550"/>
      <c r="T8" s="551"/>
      <c r="U8" s="551"/>
      <c r="V8" s="551"/>
      <c r="W8" s="551"/>
      <c r="X8" s="551"/>
      <c r="Y8" s="551"/>
      <c r="Z8" s="551"/>
      <c r="AA8" s="551"/>
      <c r="AB8" s="551"/>
      <c r="AC8" s="552"/>
      <c r="AD8" s="169"/>
      <c r="AF8" s="176">
        <f>IF(Roster!$L$3=0,"",Roster!$L$3)</f>
        <v>4</v>
      </c>
      <c r="AG8" s="174"/>
      <c r="AH8" s="541"/>
      <c r="AI8" s="542"/>
      <c r="AJ8" s="542"/>
      <c r="AK8" s="542"/>
      <c r="AL8" s="542"/>
      <c r="AM8" s="542"/>
      <c r="AN8" s="542"/>
      <c r="AO8" s="542"/>
      <c r="AP8" s="542"/>
      <c r="AQ8" s="542"/>
      <c r="AR8" s="543"/>
      <c r="AS8" s="169"/>
      <c r="AU8" s="176">
        <f>IF(Roster!$L$4=0,"",Roster!$L$4)</f>
        <v>3</v>
      </c>
      <c r="AV8" s="174"/>
      <c r="AW8" s="541"/>
      <c r="AX8" s="542"/>
      <c r="AY8" s="542"/>
      <c r="AZ8" s="542"/>
      <c r="BA8" s="542"/>
      <c r="BB8" s="542"/>
      <c r="BC8" s="542"/>
      <c r="BD8" s="542"/>
      <c r="BE8" s="542"/>
      <c r="BF8" s="542"/>
      <c r="BG8" s="543"/>
      <c r="BH8" s="169"/>
    </row>
    <row r="9" spans="2:60" ht="11.25" customHeight="1" x14ac:dyDescent="0.2">
      <c r="B9" s="515"/>
      <c r="C9" s="171"/>
      <c r="D9" s="517" t="str">
        <f>IF(Roster!$S$25=0,"",Roster!$S$25)</f>
        <v>BLOODWEISER KEGS</v>
      </c>
      <c r="E9" s="304"/>
      <c r="F9" s="305"/>
      <c r="G9" s="172"/>
      <c r="H9" s="517" t="str">
        <f>IF(Roster!$S$29=0,"",Roster!$S$29)</f>
        <v>BRIBES</v>
      </c>
      <c r="I9" s="304"/>
      <c r="J9" s="305"/>
      <c r="K9" s="172"/>
      <c r="L9" s="517" t="str">
        <f>IF(Roster!$S$30=0,"",Roster!$S$30)</f>
        <v>MASTER CHEF</v>
      </c>
      <c r="M9" s="304"/>
      <c r="N9" s="305"/>
      <c r="O9" s="169"/>
      <c r="Q9" s="173" t="str">
        <f>IF(Roster!$M$1=0,"",Roster!$M$1)</f>
        <v>AG</v>
      </c>
      <c r="R9" s="174"/>
      <c r="S9" s="550"/>
      <c r="T9" s="551"/>
      <c r="U9" s="551"/>
      <c r="V9" s="551"/>
      <c r="W9" s="551"/>
      <c r="X9" s="551"/>
      <c r="Y9" s="551"/>
      <c r="Z9" s="551"/>
      <c r="AA9" s="551"/>
      <c r="AB9" s="551"/>
      <c r="AC9" s="552"/>
      <c r="AD9" s="169"/>
      <c r="AF9" s="173" t="str">
        <f>IF(Roster!$M$1=0,"",Roster!$M$1)</f>
        <v>AG</v>
      </c>
      <c r="AG9" s="174"/>
      <c r="AH9" s="541"/>
      <c r="AI9" s="542"/>
      <c r="AJ9" s="542"/>
      <c r="AK9" s="542"/>
      <c r="AL9" s="542"/>
      <c r="AM9" s="542"/>
      <c r="AN9" s="542"/>
      <c r="AO9" s="542"/>
      <c r="AP9" s="542"/>
      <c r="AQ9" s="542"/>
      <c r="AR9" s="543"/>
      <c r="AS9" s="169"/>
      <c r="AU9" s="173" t="str">
        <f>IF(Roster!$M$1=0,"",Roster!$M$1)</f>
        <v>AG</v>
      </c>
      <c r="AV9" s="174"/>
      <c r="AW9" s="541"/>
      <c r="AX9" s="542"/>
      <c r="AY9" s="542"/>
      <c r="AZ9" s="542"/>
      <c r="BA9" s="542"/>
      <c r="BB9" s="542"/>
      <c r="BC9" s="542"/>
      <c r="BD9" s="542"/>
      <c r="BE9" s="542"/>
      <c r="BF9" s="542"/>
      <c r="BG9" s="543"/>
      <c r="BH9" s="169"/>
    </row>
    <row r="10" spans="2:60" ht="37.5" customHeight="1" x14ac:dyDescent="0.2">
      <c r="B10" s="515"/>
      <c r="C10" s="177"/>
      <c r="D10" s="560">
        <f>Roster!$X$25</f>
        <v>0</v>
      </c>
      <c r="E10" s="301"/>
      <c r="F10" s="302"/>
      <c r="G10" s="172"/>
      <c r="H10" s="560">
        <f>Roster!$X$29</f>
        <v>0</v>
      </c>
      <c r="I10" s="301"/>
      <c r="J10" s="302"/>
      <c r="K10" s="172"/>
      <c r="L10" s="560">
        <f>Roster!$X$30</f>
        <v>0</v>
      </c>
      <c r="M10" s="301"/>
      <c r="N10" s="302"/>
      <c r="O10" s="169"/>
      <c r="Q10" s="176" t="str">
        <f>IF(Roster!$M$2=0&amp;"+","",Roster!$M$2)</f>
        <v>4+</v>
      </c>
      <c r="R10" s="174"/>
      <c r="S10" s="550"/>
      <c r="T10" s="551"/>
      <c r="U10" s="551"/>
      <c r="V10" s="551"/>
      <c r="W10" s="551"/>
      <c r="X10" s="551"/>
      <c r="Y10" s="551"/>
      <c r="Z10" s="551"/>
      <c r="AA10" s="551"/>
      <c r="AB10" s="551"/>
      <c r="AC10" s="552"/>
      <c r="AD10" s="169"/>
      <c r="AF10" s="176" t="str">
        <f>IF(Roster!$M$3=0&amp;"+","",Roster!$M$3)</f>
        <v>4+</v>
      </c>
      <c r="AG10" s="174"/>
      <c r="AH10" s="541"/>
      <c r="AI10" s="542"/>
      <c r="AJ10" s="542"/>
      <c r="AK10" s="542"/>
      <c r="AL10" s="542"/>
      <c r="AM10" s="542"/>
      <c r="AN10" s="542"/>
      <c r="AO10" s="542"/>
      <c r="AP10" s="542"/>
      <c r="AQ10" s="542"/>
      <c r="AR10" s="543"/>
      <c r="AS10" s="169"/>
      <c r="AU10" s="176" t="str">
        <f>IF(Roster!$M$4=0&amp;"+","",Roster!$M$4)</f>
        <v>4+</v>
      </c>
      <c r="AV10" s="174"/>
      <c r="AW10" s="541"/>
      <c r="AX10" s="542"/>
      <c r="AY10" s="542"/>
      <c r="AZ10" s="542"/>
      <c r="BA10" s="542"/>
      <c r="BB10" s="542"/>
      <c r="BC10" s="542"/>
      <c r="BD10" s="542"/>
      <c r="BE10" s="542"/>
      <c r="BF10" s="542"/>
      <c r="BG10" s="543"/>
      <c r="BH10" s="169"/>
    </row>
    <row r="11" spans="2:60" ht="11.25" customHeight="1" x14ac:dyDescent="0.2">
      <c r="B11" s="515"/>
      <c r="C11" s="174"/>
      <c r="D11" s="559" t="str">
        <f>IF(Roster!$S$31=0,"",Roster!$S$31)</f>
        <v>RIOTOUS ROOKIES</v>
      </c>
      <c r="E11" s="304"/>
      <c r="F11" s="305"/>
      <c r="G11" s="174"/>
      <c r="H11" s="559" t="str">
        <f>IF(Roster!$AE$25=0,"",Roster!$AE$25)</f>
        <v>WIZARDS</v>
      </c>
      <c r="I11" s="304"/>
      <c r="J11" s="305"/>
      <c r="K11" s="174"/>
      <c r="L11" s="517" t="str">
        <f>IF(Roster!$AE$24=0,"",Roster!$AE$24)</f>
        <v>WEATHER MAGE</v>
      </c>
      <c r="M11" s="304"/>
      <c r="N11" s="305"/>
      <c r="O11" s="178"/>
      <c r="Q11" s="173" t="str">
        <f>IF(Roster!$N$1=0,"",Roster!$N$1)</f>
        <v>PA</v>
      </c>
      <c r="R11" s="174"/>
      <c r="S11" s="550"/>
      <c r="T11" s="551"/>
      <c r="U11" s="551"/>
      <c r="V11" s="551"/>
      <c r="W11" s="551"/>
      <c r="X11" s="551"/>
      <c r="Y11" s="551"/>
      <c r="Z11" s="551"/>
      <c r="AA11" s="551"/>
      <c r="AB11" s="551"/>
      <c r="AC11" s="552"/>
      <c r="AD11" s="178"/>
      <c r="AF11" s="173" t="str">
        <f>IF(Roster!$N$1=0,"",Roster!$N$1)</f>
        <v>PA</v>
      </c>
      <c r="AG11" s="174"/>
      <c r="AH11" s="541"/>
      <c r="AI11" s="542"/>
      <c r="AJ11" s="542"/>
      <c r="AK11" s="542"/>
      <c r="AL11" s="542"/>
      <c r="AM11" s="542"/>
      <c r="AN11" s="542"/>
      <c r="AO11" s="542"/>
      <c r="AP11" s="542"/>
      <c r="AQ11" s="542"/>
      <c r="AR11" s="543"/>
      <c r="AS11" s="178"/>
      <c r="AU11" s="173" t="str">
        <f>IF(Roster!$N$1=0,"",Roster!$N$1)</f>
        <v>PA</v>
      </c>
      <c r="AV11" s="174"/>
      <c r="AW11" s="541"/>
      <c r="AX11" s="542"/>
      <c r="AY11" s="542"/>
      <c r="AZ11" s="542"/>
      <c r="BA11" s="542"/>
      <c r="BB11" s="542"/>
      <c r="BC11" s="542"/>
      <c r="BD11" s="542"/>
      <c r="BE11" s="542"/>
      <c r="BF11" s="542"/>
      <c r="BG11" s="543"/>
      <c r="BH11" s="178"/>
    </row>
    <row r="12" spans="2:60" ht="6" customHeight="1" x14ac:dyDescent="0.2">
      <c r="B12" s="515"/>
      <c r="C12" s="175"/>
      <c r="D12" s="556">
        <f>Roster!$X$31</f>
        <v>0</v>
      </c>
      <c r="E12" s="377"/>
      <c r="F12" s="338"/>
      <c r="G12" s="179"/>
      <c r="H12" s="556">
        <f>Roster!$AJ$25</f>
        <v>0</v>
      </c>
      <c r="I12" s="377"/>
      <c r="J12" s="338"/>
      <c r="K12" s="179"/>
      <c r="L12" s="556">
        <f>Roster!$AJ$24</f>
        <v>0</v>
      </c>
      <c r="M12" s="377"/>
      <c r="N12" s="338"/>
      <c r="O12" s="180"/>
      <c r="Q12" s="530" t="str">
        <f>IF(Roster!$N$2=0&amp;"+","",Roster!$N$2)</f>
        <v>6+</v>
      </c>
      <c r="R12" s="174"/>
      <c r="S12" s="553"/>
      <c r="T12" s="554"/>
      <c r="U12" s="554"/>
      <c r="V12" s="554"/>
      <c r="W12" s="554"/>
      <c r="X12" s="554"/>
      <c r="Y12" s="554"/>
      <c r="Z12" s="554"/>
      <c r="AA12" s="554"/>
      <c r="AB12" s="554"/>
      <c r="AC12" s="555"/>
      <c r="AD12" s="180"/>
      <c r="AF12" s="530" t="str">
        <f>IF(Roster!$N$3=0&amp;"+","",Roster!$N$3)</f>
        <v>6+</v>
      </c>
      <c r="AG12" s="174"/>
      <c r="AH12" s="544"/>
      <c r="AI12" s="545"/>
      <c r="AJ12" s="545"/>
      <c r="AK12" s="545"/>
      <c r="AL12" s="545"/>
      <c r="AM12" s="545"/>
      <c r="AN12" s="545"/>
      <c r="AO12" s="545"/>
      <c r="AP12" s="545"/>
      <c r="AQ12" s="545"/>
      <c r="AR12" s="546"/>
      <c r="AS12" s="180"/>
      <c r="AU12" s="530" t="str">
        <f>IF(Roster!$N$4=0&amp;"+","",Roster!$N$4)</f>
        <v>6+</v>
      </c>
      <c r="AV12" s="174"/>
      <c r="AW12" s="544"/>
      <c r="AX12" s="545"/>
      <c r="AY12" s="545"/>
      <c r="AZ12" s="545"/>
      <c r="BA12" s="545"/>
      <c r="BB12" s="545"/>
      <c r="BC12" s="545"/>
      <c r="BD12" s="545"/>
      <c r="BE12" s="545"/>
      <c r="BF12" s="545"/>
      <c r="BG12" s="546"/>
      <c r="BH12" s="180"/>
    </row>
    <row r="13" spans="2:60" ht="4.5" customHeight="1" x14ac:dyDescent="0.2">
      <c r="B13" s="515"/>
      <c r="C13" s="175"/>
      <c r="D13" s="557"/>
      <c r="E13" s="384"/>
      <c r="F13" s="558"/>
      <c r="G13" s="179"/>
      <c r="H13" s="557"/>
      <c r="I13" s="384"/>
      <c r="J13" s="558"/>
      <c r="K13" s="179"/>
      <c r="L13" s="557"/>
      <c r="M13" s="384"/>
      <c r="N13" s="558"/>
      <c r="O13" s="180"/>
      <c r="Q13" s="531"/>
      <c r="R13" s="172"/>
      <c r="S13" s="181"/>
      <c r="T13" s="179"/>
      <c r="U13" s="181"/>
      <c r="V13" s="179"/>
      <c r="W13" s="181"/>
      <c r="X13" s="179"/>
      <c r="Y13" s="181"/>
      <c r="Z13" s="179"/>
      <c r="AA13" s="181"/>
      <c r="AB13" s="179"/>
      <c r="AC13" s="181"/>
      <c r="AD13" s="180"/>
      <c r="AF13" s="531"/>
      <c r="AG13" s="172"/>
      <c r="AH13" s="181"/>
      <c r="AI13" s="179"/>
      <c r="AJ13" s="181"/>
      <c r="AK13" s="179"/>
      <c r="AL13" s="181"/>
      <c r="AM13" s="179"/>
      <c r="AN13" s="181"/>
      <c r="AO13" s="179"/>
      <c r="AP13" s="181"/>
      <c r="AQ13" s="179"/>
      <c r="AR13" s="181"/>
      <c r="AS13" s="180"/>
      <c r="AU13" s="531"/>
      <c r="AV13" s="172"/>
      <c r="AW13" s="181"/>
      <c r="AX13" s="179"/>
      <c r="AY13" s="181"/>
      <c r="AZ13" s="179"/>
      <c r="BA13" s="181"/>
      <c r="BB13" s="179"/>
      <c r="BC13" s="181"/>
      <c r="BD13" s="179"/>
      <c r="BE13" s="181"/>
      <c r="BF13" s="179"/>
      <c r="BG13" s="181"/>
      <c r="BH13" s="180"/>
    </row>
    <row r="14" spans="2:60" ht="11.25" customHeight="1" x14ac:dyDescent="0.2">
      <c r="B14" s="515"/>
      <c r="C14" s="175"/>
      <c r="D14" s="557"/>
      <c r="E14" s="384"/>
      <c r="F14" s="558"/>
      <c r="G14" s="179"/>
      <c r="H14" s="557"/>
      <c r="I14" s="384"/>
      <c r="J14" s="558"/>
      <c r="K14" s="179"/>
      <c r="L14" s="557"/>
      <c r="M14" s="384"/>
      <c r="N14" s="558"/>
      <c r="O14" s="180"/>
      <c r="Q14" s="531"/>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1"/>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1"/>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15"/>
      <c r="C15" s="175"/>
      <c r="D15" s="557"/>
      <c r="E15" s="384"/>
      <c r="F15" s="558"/>
      <c r="G15" s="175"/>
      <c r="H15" s="557"/>
      <c r="I15" s="384"/>
      <c r="J15" s="558"/>
      <c r="K15" s="175"/>
      <c r="L15" s="557"/>
      <c r="M15" s="384"/>
      <c r="N15" s="558"/>
      <c r="O15" s="180"/>
      <c r="Q15" s="531"/>
      <c r="R15" s="175"/>
      <c r="S15" s="212">
        <f>IF(Roster!$AD$2=0,"",Roster!$AD$2)</f>
        <v>3</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31"/>
      <c r="AG15" s="175"/>
      <c r="AH15" s="212">
        <f>IF(Roster!$AD$3=0,"",Roster!$AD$3)</f>
        <v>1</v>
      </c>
      <c r="AI15" s="207"/>
      <c r="AJ15" s="212">
        <f>IF((SUM(AL15,AN15,AP15))=0,"",(SUM(AL15,AN15,AP15)))</f>
        <v>2</v>
      </c>
      <c r="AK15" s="207"/>
      <c r="AL15" s="212">
        <f>IF(Roster!$AG$3=0,"",Roster!$AG$3)</f>
        <v>1</v>
      </c>
      <c r="AM15" s="207"/>
      <c r="AN15" s="212">
        <f>IF(Roster!$AH$3=0,"",Roster!$AH$3)</f>
        <v>1</v>
      </c>
      <c r="AO15" s="207"/>
      <c r="AP15" s="212" t="str">
        <f>IF(Roster!$AI$3=0,"",Roster!$AI$3)</f>
        <v/>
      </c>
      <c r="AQ15" s="207"/>
      <c r="AR15" s="212" t="str">
        <f>IF(Roster!$AC$3=0,"",Roster!$AC$3)</f>
        <v/>
      </c>
      <c r="AS15" s="180"/>
      <c r="AU15" s="531"/>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15"/>
      <c r="C16" s="175"/>
      <c r="D16" s="339"/>
      <c r="E16" s="334"/>
      <c r="F16" s="340"/>
      <c r="G16" s="175"/>
      <c r="H16" s="339"/>
      <c r="I16" s="334"/>
      <c r="J16" s="340"/>
      <c r="K16" s="175"/>
      <c r="L16" s="339"/>
      <c r="M16" s="334"/>
      <c r="N16" s="340"/>
      <c r="O16" s="180"/>
      <c r="Q16" s="336"/>
      <c r="R16" s="175"/>
      <c r="S16" s="208"/>
      <c r="T16" s="207"/>
      <c r="U16" s="208"/>
      <c r="V16" s="207"/>
      <c r="W16" s="208"/>
      <c r="X16" s="207"/>
      <c r="Y16" s="208"/>
      <c r="Z16" s="207"/>
      <c r="AA16" s="208"/>
      <c r="AB16" s="207"/>
      <c r="AC16" s="208"/>
      <c r="AD16" s="180"/>
      <c r="AF16" s="336"/>
      <c r="AG16" s="175"/>
      <c r="AH16" s="208"/>
      <c r="AI16" s="207"/>
      <c r="AJ16" s="208"/>
      <c r="AK16" s="207"/>
      <c r="AL16" s="208"/>
      <c r="AM16" s="207"/>
      <c r="AN16" s="208"/>
      <c r="AO16" s="207"/>
      <c r="AP16" s="208"/>
      <c r="AQ16" s="207"/>
      <c r="AR16" s="208"/>
      <c r="AS16" s="180"/>
      <c r="AU16" s="336"/>
      <c r="AV16" s="175"/>
      <c r="AW16" s="208"/>
      <c r="AX16" s="207"/>
      <c r="AY16" s="208"/>
      <c r="AZ16" s="207"/>
      <c r="BA16" s="208"/>
      <c r="BB16" s="207"/>
      <c r="BC16" s="208"/>
      <c r="BD16" s="207"/>
      <c r="BE16" s="208"/>
      <c r="BF16" s="207"/>
      <c r="BG16" s="208"/>
      <c r="BH16" s="180"/>
    </row>
    <row r="17" spans="2:60" ht="11.25" customHeight="1" x14ac:dyDescent="0.2">
      <c r="B17" s="515"/>
      <c r="C17" s="174"/>
      <c r="D17" s="517" t="str">
        <f>IF(Roster!$S$26=0,"",Roster!$S$26)</f>
        <v>SPECIAL CARD</v>
      </c>
      <c r="E17" s="304"/>
      <c r="F17" s="305"/>
      <c r="G17" s="174"/>
      <c r="H17" s="559" t="str">
        <f>IF(Roster!$AE$26=0,"",Roster!$AE$26)</f>
        <v>(IN)FAMOUS COACHES</v>
      </c>
      <c r="I17" s="304"/>
      <c r="J17" s="305"/>
      <c r="K17" s="174"/>
      <c r="L17" s="559" t="str">
        <f>IF(Roster!$AE$27=0,"",Roster!$AE$27)</f>
        <v>(IN)FAMOUS COACHES</v>
      </c>
      <c r="M17" s="304"/>
      <c r="N17" s="305"/>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15"/>
      <c r="C18" s="175"/>
      <c r="D18" s="556">
        <f>Roster!$X$26</f>
        <v>0</v>
      </c>
      <c r="E18" s="377"/>
      <c r="F18" s="338"/>
      <c r="G18" s="175"/>
      <c r="H18" s="556">
        <f>Roster!$AJ$26</f>
        <v>0</v>
      </c>
      <c r="I18" s="377"/>
      <c r="J18" s="338"/>
      <c r="K18" s="175"/>
      <c r="L18" s="556">
        <f>Roster!$AJ$27</f>
        <v>0</v>
      </c>
      <c r="M18" s="377"/>
      <c r="N18" s="338"/>
      <c r="O18" s="182"/>
      <c r="Q18" s="530" t="str">
        <f>IF(Roster!$O$2=0&amp;"+","",Roster!$O$2)</f>
        <v>10+</v>
      </c>
      <c r="R18" s="175"/>
      <c r="S18" s="212" t="str">
        <f>IF(Roster!$AE$2=0,"",Roster!$AE$2)</f>
        <v/>
      </c>
      <c r="T18" s="207"/>
      <c r="U18" s="212" t="str">
        <f>IF(Roster!$AF$2=0,"",Roster!$AF$2)</f>
        <v/>
      </c>
      <c r="V18" s="207"/>
      <c r="W18" s="212" t="str">
        <f>IF(Roster!$AB$2=0,"",Roster!$AB$2)</f>
        <v/>
      </c>
      <c r="X18" s="207"/>
      <c r="Y18" s="212">
        <f>IF(Roster!$AJ$2=0,"",Roster!$AJ$2)</f>
        <v>1</v>
      </c>
      <c r="Z18" s="207"/>
      <c r="AA18" s="212">
        <f>IF(Roster!$AK$2=0,"",Roster!$AK$2)</f>
        <v>13</v>
      </c>
      <c r="AB18" s="207"/>
      <c r="AC18" s="212" t="str">
        <f>IF(Roster!$AA$2=0,"",Roster!$AA$2)</f>
        <v/>
      </c>
      <c r="AD18" s="182"/>
      <c r="AF18" s="530" t="str">
        <f>IF(Roster!$O$3=0&amp;"+","",Roster!$O$3)</f>
        <v>10+</v>
      </c>
      <c r="AG18" s="175"/>
      <c r="AH18" s="212" t="str">
        <f>IF(Roster!$AE$3=0,"",Roster!$AE$3)</f>
        <v/>
      </c>
      <c r="AI18" s="207"/>
      <c r="AJ18" s="212" t="str">
        <f>IF(Roster!$AF$3=0,"",Roster!$AF$3)</f>
        <v/>
      </c>
      <c r="AK18" s="207"/>
      <c r="AL18" s="212" t="str">
        <f>IF(Roster!$AB$3=0,"",Roster!$AB$3)</f>
        <v/>
      </c>
      <c r="AM18" s="207"/>
      <c r="AN18" s="212" t="str">
        <f>IF(Roster!$AJ$3=0,"",Roster!$AJ$3)</f>
        <v/>
      </c>
      <c r="AO18" s="207"/>
      <c r="AP18" s="212">
        <f>IF(Roster!$AK$3=0,"",Roster!$AK$3)</f>
        <v>7</v>
      </c>
      <c r="AQ18" s="207"/>
      <c r="AR18" s="212" t="str">
        <f>IF(Roster!$AA$3=0,"",Roster!$AA$3)</f>
        <v/>
      </c>
      <c r="AS18" s="182"/>
      <c r="AU18" s="530" t="str">
        <f>IF(Roster!$O$4=0&amp;"+","",Roster!$O$4)</f>
        <v>10+</v>
      </c>
      <c r="AV18" s="175"/>
      <c r="AW18" s="212" t="str">
        <f>IF(Roster!$AE$4=0,"",Roster!$AE$4)</f>
        <v/>
      </c>
      <c r="AX18" s="207"/>
      <c r="AY18" s="212" t="str">
        <f>IF(Roster!$AF$4=0,"",Roster!$AF$4)</f>
        <v/>
      </c>
      <c r="AZ18" s="207"/>
      <c r="BA18" s="212" t="str">
        <f>IF(Roster!$AB$4=0,"",Roster!$AB$4)</f>
        <v/>
      </c>
      <c r="BB18" s="207"/>
      <c r="BC18" s="212">
        <f>IF(Roster!$AJ$4=0,"",Roster!$AJ$4)</f>
        <v>1</v>
      </c>
      <c r="BD18" s="207"/>
      <c r="BE18" s="212">
        <f>IF(Roster!$AK$4=0,"",Roster!$AK$4)</f>
        <v>4</v>
      </c>
      <c r="BF18" s="207"/>
      <c r="BG18" s="212" t="str">
        <f>IF(Roster!$AA$4=0,"",Roster!$AA$4)</f>
        <v/>
      </c>
      <c r="BH18" s="182"/>
    </row>
    <row r="19" spans="2:60" ht="4.5" customHeight="1" x14ac:dyDescent="0.2">
      <c r="B19" s="515"/>
      <c r="C19" s="175"/>
      <c r="D19" s="557"/>
      <c r="E19" s="384"/>
      <c r="F19" s="558"/>
      <c r="G19" s="175"/>
      <c r="H19" s="557"/>
      <c r="I19" s="384"/>
      <c r="J19" s="558"/>
      <c r="K19" s="175"/>
      <c r="L19" s="557"/>
      <c r="M19" s="384"/>
      <c r="N19" s="558"/>
      <c r="O19" s="182"/>
      <c r="Q19" s="531"/>
      <c r="R19" s="175"/>
      <c r="S19" s="207"/>
      <c r="T19" s="207"/>
      <c r="U19" s="207"/>
      <c r="V19" s="207"/>
      <c r="W19" s="207"/>
      <c r="X19" s="207"/>
      <c r="Y19" s="207"/>
      <c r="Z19" s="207"/>
      <c r="AA19" s="207"/>
      <c r="AB19" s="207"/>
      <c r="AC19" s="210"/>
      <c r="AD19" s="182"/>
      <c r="AF19" s="531"/>
      <c r="AG19" s="175"/>
      <c r="AH19" s="207"/>
      <c r="AI19" s="207"/>
      <c r="AJ19" s="207"/>
      <c r="AK19" s="207"/>
      <c r="AL19" s="207"/>
      <c r="AM19" s="207"/>
      <c r="AN19" s="207"/>
      <c r="AO19" s="207"/>
      <c r="AP19" s="207"/>
      <c r="AQ19" s="207"/>
      <c r="AR19" s="210"/>
      <c r="AS19" s="182"/>
      <c r="AU19" s="531"/>
      <c r="AV19" s="175"/>
      <c r="AW19" s="207"/>
      <c r="AX19" s="207"/>
      <c r="AY19" s="207"/>
      <c r="AZ19" s="207"/>
      <c r="BA19" s="207"/>
      <c r="BB19" s="207"/>
      <c r="BC19" s="207"/>
      <c r="BD19" s="207"/>
      <c r="BE19" s="207"/>
      <c r="BF19" s="207"/>
      <c r="BG19" s="210"/>
      <c r="BH19" s="182"/>
    </row>
    <row r="20" spans="2:60" ht="11.25" customHeight="1" x14ac:dyDescent="0.2">
      <c r="B20" s="515"/>
      <c r="C20" s="175"/>
      <c r="D20" s="557"/>
      <c r="E20" s="384"/>
      <c r="F20" s="558"/>
      <c r="G20" s="183"/>
      <c r="H20" s="557"/>
      <c r="I20" s="384"/>
      <c r="J20" s="558"/>
      <c r="K20" s="183"/>
      <c r="L20" s="557"/>
      <c r="M20" s="384"/>
      <c r="N20" s="558"/>
      <c r="O20" s="182"/>
      <c r="Q20" s="531"/>
      <c r="R20" s="175"/>
      <c r="S20" s="562" t="str">
        <f>IF(Roster!$K$25="Italiano","ABILITÀ &amp; TRATTI",(IF(Roster!$K$25="Español","HABILIDADES Y RASGOS","SKILLS &amp; TRAITS")))</f>
        <v>SKILLS &amp; TRAITS</v>
      </c>
      <c r="T20" s="563"/>
      <c r="U20" s="563"/>
      <c r="V20" s="563"/>
      <c r="W20" s="563"/>
      <c r="X20" s="563"/>
      <c r="Y20" s="563"/>
      <c r="Z20" s="563"/>
      <c r="AA20" s="563"/>
      <c r="AB20" s="563"/>
      <c r="AC20" s="564"/>
      <c r="AD20" s="182"/>
      <c r="AF20" s="531"/>
      <c r="AG20" s="175"/>
      <c r="AH20" s="562" t="str">
        <f>IF(Roster!$K$25="Italiano","ABILITÀ &amp; TRATTI",(IF(Roster!$K$25="Español","HABILIDADES Y RASGOS","SKILLS &amp; TRAITS")))</f>
        <v>SKILLS &amp; TRAITS</v>
      </c>
      <c r="AI20" s="563"/>
      <c r="AJ20" s="563"/>
      <c r="AK20" s="563"/>
      <c r="AL20" s="563"/>
      <c r="AM20" s="563"/>
      <c r="AN20" s="563"/>
      <c r="AO20" s="563"/>
      <c r="AP20" s="563"/>
      <c r="AQ20" s="563"/>
      <c r="AR20" s="564"/>
      <c r="AS20" s="182"/>
      <c r="AU20" s="531"/>
      <c r="AV20" s="175"/>
      <c r="AW20" s="562" t="str">
        <f>IF(Roster!$K$25="Italiano","ABILITÀ &amp; TRATTI",(IF(Roster!$K$25="Español","HABILIDADES Y RASGOS","SKILLS &amp; TRAITS")))</f>
        <v>SKILLS &amp; TRAITS</v>
      </c>
      <c r="AX20" s="563"/>
      <c r="AY20" s="563"/>
      <c r="AZ20" s="563"/>
      <c r="BA20" s="563"/>
      <c r="BB20" s="563"/>
      <c r="BC20" s="563"/>
      <c r="BD20" s="563"/>
      <c r="BE20" s="563"/>
      <c r="BF20" s="563"/>
      <c r="BG20" s="564"/>
      <c r="BH20" s="182"/>
    </row>
    <row r="21" spans="2:60" ht="6.75" customHeight="1" x14ac:dyDescent="0.2">
      <c r="B21" s="515"/>
      <c r="C21" s="175"/>
      <c r="D21" s="339"/>
      <c r="E21" s="334"/>
      <c r="F21" s="340"/>
      <c r="G21" s="184"/>
      <c r="H21" s="339"/>
      <c r="I21" s="334"/>
      <c r="J21" s="340"/>
      <c r="K21" s="184"/>
      <c r="L21" s="339"/>
      <c r="M21" s="334"/>
      <c r="N21" s="340"/>
      <c r="O21" s="182"/>
      <c r="Q21" s="336"/>
      <c r="R21" s="175"/>
      <c r="S21" s="565" t="str">
        <f>IF(Roster!$P$2=0&amp;BF2,"",Roster!$P$2)</f>
        <v>Sprint, Sure Feet, Thick Skull, Sure Hands</v>
      </c>
      <c r="T21" s="490"/>
      <c r="U21" s="490"/>
      <c r="V21" s="490"/>
      <c r="W21" s="490"/>
      <c r="X21" s="490"/>
      <c r="Y21" s="490"/>
      <c r="Z21" s="490"/>
      <c r="AA21" s="490"/>
      <c r="AB21" s="490"/>
      <c r="AC21" s="566"/>
      <c r="AD21" s="182"/>
      <c r="AF21" s="336"/>
      <c r="AG21" s="175"/>
      <c r="AH21" s="565" t="str">
        <f>IF(Roster!$P$3=0&amp;BU3,"",Roster!$P$3)</f>
        <v>Sprint, Sure Feet, Thick Skull, Block</v>
      </c>
      <c r="AI21" s="490"/>
      <c r="AJ21" s="490"/>
      <c r="AK21" s="490"/>
      <c r="AL21" s="490"/>
      <c r="AM21" s="490"/>
      <c r="AN21" s="490"/>
      <c r="AO21" s="490"/>
      <c r="AP21" s="490"/>
      <c r="AQ21" s="490"/>
      <c r="AR21" s="566"/>
      <c r="AS21" s="182"/>
      <c r="AU21" s="336"/>
      <c r="AV21" s="175"/>
      <c r="AW21" s="565" t="str">
        <f>IF(Roster!$P$4=0&amp;CJ4,"",Roster!$P$4)</f>
        <v>Block, Iron Hard Skin, Thick Skull - 1 NI</v>
      </c>
      <c r="AX21" s="490"/>
      <c r="AY21" s="490"/>
      <c r="AZ21" s="490"/>
      <c r="BA21" s="490"/>
      <c r="BB21" s="490"/>
      <c r="BC21" s="490"/>
      <c r="BD21" s="490"/>
      <c r="BE21" s="490"/>
      <c r="BF21" s="490"/>
      <c r="BG21" s="566"/>
      <c r="BH21" s="182"/>
    </row>
    <row r="22" spans="2:60" ht="11.25" customHeight="1" x14ac:dyDescent="0.2">
      <c r="B22" s="515"/>
      <c r="C22" s="171"/>
      <c r="D22" s="559" t="str">
        <f>IF(Roster!$AE$28=0,"",Roster!$AE$28)</f>
        <v>BIASED REFEREE</v>
      </c>
      <c r="E22" s="304"/>
      <c r="F22" s="305"/>
      <c r="G22" s="184"/>
      <c r="H22" s="559" t="str">
        <f>IF(Roster!$AE$29=0,"",Roster!$AE$29)</f>
        <v>OTHER INDUCEMENTS</v>
      </c>
      <c r="I22" s="304"/>
      <c r="J22" s="305"/>
      <c r="K22" s="184"/>
      <c r="L22" s="517" t="str">
        <f>IF(Roster!$AE$31=0,"",Roster!$AE$31)</f>
        <v>WANDERING APO</v>
      </c>
      <c r="M22" s="304"/>
      <c r="N22" s="305"/>
      <c r="O22" s="185"/>
      <c r="Q22" s="173" t="str">
        <f>IF(Roster!$AO$1=0,"",Roster!$AO$1)</f>
        <v>COST</v>
      </c>
      <c r="R22" s="174"/>
      <c r="S22" s="567"/>
      <c r="T22" s="568"/>
      <c r="U22" s="568"/>
      <c r="V22" s="568"/>
      <c r="W22" s="568"/>
      <c r="X22" s="568"/>
      <c r="Y22" s="568"/>
      <c r="Z22" s="568"/>
      <c r="AA22" s="568"/>
      <c r="AB22" s="568"/>
      <c r="AC22" s="566"/>
      <c r="AD22" s="185"/>
      <c r="AF22" s="173" t="str">
        <f>IF(Roster!$AO$1=0,"",Roster!$AO$1)</f>
        <v>COST</v>
      </c>
      <c r="AG22" s="174"/>
      <c r="AH22" s="567"/>
      <c r="AI22" s="568"/>
      <c r="AJ22" s="568"/>
      <c r="AK22" s="568"/>
      <c r="AL22" s="568"/>
      <c r="AM22" s="568"/>
      <c r="AN22" s="568"/>
      <c r="AO22" s="568"/>
      <c r="AP22" s="568"/>
      <c r="AQ22" s="568"/>
      <c r="AR22" s="566"/>
      <c r="AS22" s="185"/>
      <c r="AU22" s="173" t="str">
        <f>IF(Roster!$AO$1=0,"",Roster!$AO$1)</f>
        <v>COST</v>
      </c>
      <c r="AV22" s="174"/>
      <c r="AW22" s="567"/>
      <c r="AX22" s="568"/>
      <c r="AY22" s="568"/>
      <c r="AZ22" s="568"/>
      <c r="BA22" s="568"/>
      <c r="BB22" s="568"/>
      <c r="BC22" s="568"/>
      <c r="BD22" s="568"/>
      <c r="BE22" s="568"/>
      <c r="BF22" s="568"/>
      <c r="BG22" s="566"/>
      <c r="BH22" s="185"/>
    </row>
    <row r="23" spans="2:60" ht="34.5" customHeight="1" x14ac:dyDescent="0.2">
      <c r="B23" s="516"/>
      <c r="C23" s="186"/>
      <c r="D23" s="573">
        <f>Roster!$AJ$28</f>
        <v>0</v>
      </c>
      <c r="E23" s="301"/>
      <c r="F23" s="302"/>
      <c r="G23" s="184"/>
      <c r="H23" s="573">
        <f>Roster!$AJ$29</f>
        <v>0</v>
      </c>
      <c r="I23" s="301"/>
      <c r="J23" s="302"/>
      <c r="K23" s="184"/>
      <c r="L23" s="573">
        <f>Roster!$AJ$31</f>
        <v>0</v>
      </c>
      <c r="M23" s="301"/>
      <c r="N23" s="302"/>
      <c r="O23" s="185"/>
      <c r="Q23" s="187">
        <f>IF(Roster!$AO$2=0,"",Roster!$AO$2)</f>
        <v>150000</v>
      </c>
      <c r="R23" s="188"/>
      <c r="S23" s="569"/>
      <c r="T23" s="570"/>
      <c r="U23" s="570"/>
      <c r="V23" s="570"/>
      <c r="W23" s="570"/>
      <c r="X23" s="570"/>
      <c r="Y23" s="570"/>
      <c r="Z23" s="570"/>
      <c r="AA23" s="570"/>
      <c r="AB23" s="570"/>
      <c r="AC23" s="571"/>
      <c r="AD23" s="185"/>
      <c r="AF23" s="187">
        <f>IF(Roster!$AO$3=0,"",Roster!$AO$3)</f>
        <v>150000</v>
      </c>
      <c r="AG23" s="188"/>
      <c r="AH23" s="569"/>
      <c r="AI23" s="570"/>
      <c r="AJ23" s="570"/>
      <c r="AK23" s="570"/>
      <c r="AL23" s="570"/>
      <c r="AM23" s="570"/>
      <c r="AN23" s="570"/>
      <c r="AO23" s="570"/>
      <c r="AP23" s="570"/>
      <c r="AQ23" s="570"/>
      <c r="AR23" s="571"/>
      <c r="AS23" s="185"/>
      <c r="AU23" s="187">
        <f>IF(Roster!$AO$4=0,"",Roster!$AO$4)</f>
        <v>70000</v>
      </c>
      <c r="AV23" s="188"/>
      <c r="AW23" s="569"/>
      <c r="AX23" s="570"/>
      <c r="AY23" s="570"/>
      <c r="AZ23" s="570"/>
      <c r="BA23" s="570"/>
      <c r="BB23" s="570"/>
      <c r="BC23" s="570"/>
      <c r="BD23" s="570"/>
      <c r="BE23" s="570"/>
      <c r="BF23" s="570"/>
      <c r="BG23" s="571"/>
      <c r="BH23" s="185"/>
    </row>
    <row r="24" spans="2:60" ht="4.5" customHeight="1" x14ac:dyDescent="0.2">
      <c r="B24" s="572"/>
      <c r="C24" s="333"/>
      <c r="D24" s="333"/>
      <c r="E24" s="333"/>
      <c r="F24" s="333"/>
      <c r="G24" s="333"/>
      <c r="H24" s="333"/>
      <c r="I24" s="333"/>
      <c r="J24" s="333"/>
      <c r="K24" s="333"/>
      <c r="L24" s="333"/>
      <c r="M24" s="333"/>
      <c r="N24" s="335"/>
      <c r="O24" s="189"/>
      <c r="Q24" s="572"/>
      <c r="R24" s="333"/>
      <c r="S24" s="333"/>
      <c r="T24" s="333"/>
      <c r="U24" s="333"/>
      <c r="V24" s="333"/>
      <c r="W24" s="333"/>
      <c r="X24" s="333"/>
      <c r="Y24" s="333"/>
      <c r="Z24" s="333"/>
      <c r="AA24" s="333"/>
      <c r="AB24" s="333"/>
      <c r="AC24" s="335"/>
      <c r="AD24" s="189"/>
      <c r="AF24" s="572"/>
      <c r="AG24" s="333"/>
      <c r="AH24" s="333"/>
      <c r="AI24" s="333"/>
      <c r="AJ24" s="333"/>
      <c r="AK24" s="333"/>
      <c r="AL24" s="333"/>
      <c r="AM24" s="333"/>
      <c r="AN24" s="333"/>
      <c r="AO24" s="333"/>
      <c r="AP24" s="333"/>
      <c r="AQ24" s="333"/>
      <c r="AR24" s="335"/>
      <c r="AS24" s="189"/>
      <c r="AU24" s="572"/>
      <c r="AV24" s="333"/>
      <c r="AW24" s="333"/>
      <c r="AX24" s="333"/>
      <c r="AY24" s="333"/>
      <c r="AZ24" s="333"/>
      <c r="BA24" s="333"/>
      <c r="BB24" s="333"/>
      <c r="BC24" s="333"/>
      <c r="BD24" s="333"/>
      <c r="BE24" s="333"/>
      <c r="BF24" s="333"/>
      <c r="BG24" s="335"/>
      <c r="BH24" s="189"/>
    </row>
    <row r="25" spans="2:60" ht="11.25" customHeight="1" x14ac:dyDescent="0.2"/>
    <row r="26" spans="2:60" ht="4.5" customHeight="1" x14ac:dyDescent="0.2">
      <c r="B26" s="514" t="str">
        <f>IF(Roster!$A$5=0,"","#"&amp;Roster!$A$5)</f>
        <v>#4</v>
      </c>
      <c r="C26" s="167"/>
      <c r="D26" s="167"/>
      <c r="E26" s="167"/>
      <c r="F26" s="167"/>
      <c r="G26" s="167"/>
      <c r="H26" s="167"/>
      <c r="I26" s="167"/>
      <c r="J26" s="167"/>
      <c r="K26" s="167"/>
      <c r="L26" s="167"/>
      <c r="M26" s="167"/>
      <c r="N26" s="167"/>
      <c r="O26" s="168"/>
      <c r="Q26" s="514" t="str">
        <f>IF(Roster!$A$6=0,"","#"&amp;Roster!$A$6)</f>
        <v>#5</v>
      </c>
      <c r="R26" s="167"/>
      <c r="S26" s="167"/>
      <c r="T26" s="167"/>
      <c r="U26" s="167"/>
      <c r="V26" s="167"/>
      <c r="W26" s="167"/>
      <c r="X26" s="167"/>
      <c r="Y26" s="167"/>
      <c r="Z26" s="167"/>
      <c r="AA26" s="167"/>
      <c r="AB26" s="167"/>
      <c r="AC26" s="167"/>
      <c r="AD26" s="168"/>
      <c r="AF26" s="514" t="str">
        <f>IF(Roster!$A$7=0,"","#"&amp;Roster!$A$7)</f>
        <v>#6</v>
      </c>
      <c r="AG26" s="167"/>
      <c r="AH26" s="167"/>
      <c r="AI26" s="167"/>
      <c r="AJ26" s="167"/>
      <c r="AK26" s="167"/>
      <c r="AL26" s="167"/>
      <c r="AM26" s="167"/>
      <c r="AN26" s="167"/>
      <c r="AO26" s="167"/>
      <c r="AP26" s="167"/>
      <c r="AQ26" s="167"/>
      <c r="AR26" s="167"/>
      <c r="AS26" s="168"/>
      <c r="AU26" s="514" t="str">
        <f>IF(Roster!$A$8=0,"","#"&amp;Roster!$A$8)</f>
        <v>#7</v>
      </c>
      <c r="AV26" s="167"/>
      <c r="AW26" s="167"/>
      <c r="AX26" s="167"/>
      <c r="AY26" s="167"/>
      <c r="AZ26" s="167"/>
      <c r="BA26" s="167"/>
      <c r="BB26" s="167"/>
      <c r="BC26" s="167"/>
      <c r="BD26" s="167"/>
      <c r="BE26" s="167"/>
      <c r="BF26" s="167"/>
      <c r="BG26" s="167"/>
      <c r="BH26" s="168"/>
    </row>
    <row r="27" spans="2:60" ht="15" customHeight="1" x14ac:dyDescent="0.25">
      <c r="B27" s="515"/>
      <c r="C27" s="537" t="str">
        <f>IF(Roster!$B$5=0,"",Roster!$B$5)</f>
        <v>Fuel</v>
      </c>
      <c r="D27" s="304"/>
      <c r="E27" s="304"/>
      <c r="F27" s="304"/>
      <c r="G27" s="304"/>
      <c r="H27" s="304"/>
      <c r="I27" s="304"/>
      <c r="J27" s="304"/>
      <c r="K27" s="304"/>
      <c r="L27" s="304"/>
      <c r="M27" s="304"/>
      <c r="N27" s="305"/>
      <c r="O27" s="169"/>
      <c r="Q27" s="515"/>
      <c r="R27" s="537" t="str">
        <f>IF(Roster!$B$6=0,"",Roster!$B$6)</f>
        <v>Kagos</v>
      </c>
      <c r="S27" s="304"/>
      <c r="T27" s="304"/>
      <c r="U27" s="304"/>
      <c r="V27" s="304"/>
      <c r="W27" s="304"/>
      <c r="X27" s="304"/>
      <c r="Y27" s="304"/>
      <c r="Z27" s="304"/>
      <c r="AA27" s="304"/>
      <c r="AB27" s="304"/>
      <c r="AC27" s="305"/>
      <c r="AD27" s="169"/>
      <c r="AF27" s="515"/>
      <c r="AG27" s="537" t="str">
        <f>IF(Roster!$B$7=0,"",Roster!$B$7)</f>
        <v>Slower</v>
      </c>
      <c r="AH27" s="304"/>
      <c r="AI27" s="304"/>
      <c r="AJ27" s="304"/>
      <c r="AK27" s="304"/>
      <c r="AL27" s="304"/>
      <c r="AM27" s="304"/>
      <c r="AN27" s="304"/>
      <c r="AO27" s="304"/>
      <c r="AP27" s="304"/>
      <c r="AQ27" s="304"/>
      <c r="AR27" s="305"/>
      <c r="AS27" s="169"/>
      <c r="AU27" s="515"/>
      <c r="AV27" s="537" t="str">
        <f>IF(Roster!$B$8=0,"",Roster!$B$8)</f>
        <v>Blazer</v>
      </c>
      <c r="AW27" s="304"/>
      <c r="AX27" s="304"/>
      <c r="AY27" s="304"/>
      <c r="AZ27" s="304"/>
      <c r="BA27" s="304"/>
      <c r="BB27" s="304"/>
      <c r="BC27" s="304"/>
      <c r="BD27" s="304"/>
      <c r="BE27" s="304"/>
      <c r="BF27" s="304"/>
      <c r="BG27" s="305"/>
      <c r="BH27" s="169"/>
    </row>
    <row r="28" spans="2:60" ht="11.25" customHeight="1" x14ac:dyDescent="0.2">
      <c r="B28" s="516"/>
      <c r="C28" s="517" t="str">
        <f>IF(Roster!$D$5=0,"",Roster!$D$5)</f>
        <v>Chaos Dwarf Blocker</v>
      </c>
      <c r="D28" s="304"/>
      <c r="E28" s="304"/>
      <c r="F28" s="304"/>
      <c r="G28" s="304"/>
      <c r="H28" s="304"/>
      <c r="I28" s="304"/>
      <c r="J28" s="304"/>
      <c r="K28" s="304"/>
      <c r="L28" s="304"/>
      <c r="M28" s="304"/>
      <c r="N28" s="305"/>
      <c r="O28" s="170"/>
      <c r="Q28" s="516"/>
      <c r="R28" s="517" t="str">
        <f>IF(Roster!$D$6=0,"",Roster!$D$6)</f>
        <v>Chaos Dwarf Blocker</v>
      </c>
      <c r="S28" s="304"/>
      <c r="T28" s="304"/>
      <c r="U28" s="304"/>
      <c r="V28" s="304"/>
      <c r="W28" s="304"/>
      <c r="X28" s="304"/>
      <c r="Y28" s="304"/>
      <c r="Z28" s="304"/>
      <c r="AA28" s="304"/>
      <c r="AB28" s="304"/>
      <c r="AC28" s="305"/>
      <c r="AD28" s="170"/>
      <c r="AF28" s="516"/>
      <c r="AG28" s="517" t="str">
        <f>IF(Roster!$D$7=0,"",Roster!$D$7)</f>
        <v>Chaos Dwarf Blocker</v>
      </c>
      <c r="AH28" s="304"/>
      <c r="AI28" s="304"/>
      <c r="AJ28" s="304"/>
      <c r="AK28" s="304"/>
      <c r="AL28" s="304"/>
      <c r="AM28" s="304"/>
      <c r="AN28" s="304"/>
      <c r="AO28" s="304"/>
      <c r="AP28" s="304"/>
      <c r="AQ28" s="304"/>
      <c r="AR28" s="305"/>
      <c r="AS28" s="170"/>
      <c r="AU28" s="516"/>
      <c r="AV28" s="517" t="str">
        <f>IF(Roster!$D$8=0,"",Roster!$D$8)</f>
        <v>Chaos Dwarf Flamesmith</v>
      </c>
      <c r="AW28" s="304"/>
      <c r="AX28" s="304"/>
      <c r="AY28" s="304"/>
      <c r="AZ28" s="304"/>
      <c r="BA28" s="304"/>
      <c r="BB28" s="304"/>
      <c r="BC28" s="304"/>
      <c r="BD28" s="304"/>
      <c r="BE28" s="304"/>
      <c r="BF28" s="304"/>
      <c r="BG28" s="305"/>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4</v>
      </c>
      <c r="C30" s="174"/>
      <c r="D30" s="538"/>
      <c r="E30" s="539"/>
      <c r="F30" s="539"/>
      <c r="G30" s="539"/>
      <c r="H30" s="539"/>
      <c r="I30" s="539"/>
      <c r="J30" s="539"/>
      <c r="K30" s="539"/>
      <c r="L30" s="539"/>
      <c r="M30" s="539"/>
      <c r="N30" s="540"/>
      <c r="O30" s="169"/>
      <c r="Q30" s="176">
        <f>IF(Roster!$K$6=0,"",Roster!$K$6)</f>
        <v>4</v>
      </c>
      <c r="R30" s="174"/>
      <c r="S30" s="538"/>
      <c r="T30" s="539"/>
      <c r="U30" s="539"/>
      <c r="V30" s="539"/>
      <c r="W30" s="539"/>
      <c r="X30" s="539"/>
      <c r="Y30" s="539"/>
      <c r="Z30" s="539"/>
      <c r="AA30" s="539"/>
      <c r="AB30" s="539"/>
      <c r="AC30" s="540"/>
      <c r="AD30" s="169"/>
      <c r="AF30" s="176">
        <f>IF(Roster!$K$7=0,"",Roster!$K$7)</f>
        <v>4</v>
      </c>
      <c r="AG30" s="174"/>
      <c r="AH30" s="538"/>
      <c r="AI30" s="539"/>
      <c r="AJ30" s="539"/>
      <c r="AK30" s="539"/>
      <c r="AL30" s="539"/>
      <c r="AM30" s="539"/>
      <c r="AN30" s="539"/>
      <c r="AO30" s="539"/>
      <c r="AP30" s="539"/>
      <c r="AQ30" s="539"/>
      <c r="AR30" s="540"/>
      <c r="AS30" s="169"/>
      <c r="AU30" s="176">
        <f>IF(Roster!$K$8=0,"",Roster!$K$8)</f>
        <v>5</v>
      </c>
      <c r="AV30" s="174"/>
      <c r="AW30" s="538"/>
      <c r="AX30" s="539"/>
      <c r="AY30" s="539"/>
      <c r="AZ30" s="539"/>
      <c r="BA30" s="539"/>
      <c r="BB30" s="539"/>
      <c r="BC30" s="539"/>
      <c r="BD30" s="539"/>
      <c r="BE30" s="539"/>
      <c r="BF30" s="539"/>
      <c r="BG30" s="540"/>
      <c r="BH30" s="169"/>
    </row>
    <row r="31" spans="2:60" ht="11.25" customHeight="1" x14ac:dyDescent="0.2">
      <c r="B31" s="173" t="str">
        <f>IF(Roster!$L$1=0,"",Roster!$L$1)</f>
        <v>ST</v>
      </c>
      <c r="C31" s="174"/>
      <c r="D31" s="541"/>
      <c r="E31" s="542"/>
      <c r="F31" s="542"/>
      <c r="G31" s="542"/>
      <c r="H31" s="542"/>
      <c r="I31" s="542"/>
      <c r="J31" s="542"/>
      <c r="K31" s="542"/>
      <c r="L31" s="542"/>
      <c r="M31" s="542"/>
      <c r="N31" s="543"/>
      <c r="O31" s="169"/>
      <c r="Q31" s="173" t="str">
        <f>IF(Roster!$L$1=0,"",Roster!$L$1)</f>
        <v>ST</v>
      </c>
      <c r="R31" s="174"/>
      <c r="S31" s="541"/>
      <c r="T31" s="542"/>
      <c r="U31" s="542"/>
      <c r="V31" s="542"/>
      <c r="W31" s="542"/>
      <c r="X31" s="542"/>
      <c r="Y31" s="542"/>
      <c r="Z31" s="542"/>
      <c r="AA31" s="542"/>
      <c r="AB31" s="542"/>
      <c r="AC31" s="543"/>
      <c r="AD31" s="169"/>
      <c r="AF31" s="173" t="str">
        <f>IF(Roster!$L$1=0,"",Roster!$L$1)</f>
        <v>ST</v>
      </c>
      <c r="AG31" s="174"/>
      <c r="AH31" s="541"/>
      <c r="AI31" s="542"/>
      <c r="AJ31" s="542"/>
      <c r="AK31" s="542"/>
      <c r="AL31" s="542"/>
      <c r="AM31" s="542"/>
      <c r="AN31" s="542"/>
      <c r="AO31" s="542"/>
      <c r="AP31" s="542"/>
      <c r="AQ31" s="542"/>
      <c r="AR31" s="543"/>
      <c r="AS31" s="169"/>
      <c r="AU31" s="173" t="str">
        <f>IF(Roster!$L$1=0,"",Roster!$L$1)</f>
        <v>ST</v>
      </c>
      <c r="AV31" s="174"/>
      <c r="AW31" s="541"/>
      <c r="AX31" s="542"/>
      <c r="AY31" s="542"/>
      <c r="AZ31" s="542"/>
      <c r="BA31" s="542"/>
      <c r="BB31" s="542"/>
      <c r="BC31" s="542"/>
      <c r="BD31" s="542"/>
      <c r="BE31" s="542"/>
      <c r="BF31" s="542"/>
      <c r="BG31" s="543"/>
      <c r="BH31" s="169"/>
    </row>
    <row r="32" spans="2:60" ht="37.5" customHeight="1" x14ac:dyDescent="0.2">
      <c r="B32" s="176">
        <f>IF(Roster!$L$5=0,"",Roster!$L$5)</f>
        <v>3</v>
      </c>
      <c r="C32" s="174"/>
      <c r="D32" s="541"/>
      <c r="E32" s="542"/>
      <c r="F32" s="542"/>
      <c r="G32" s="542"/>
      <c r="H32" s="542"/>
      <c r="I32" s="542"/>
      <c r="J32" s="542"/>
      <c r="K32" s="542"/>
      <c r="L32" s="542"/>
      <c r="M32" s="542"/>
      <c r="N32" s="543"/>
      <c r="O32" s="169"/>
      <c r="Q32" s="176">
        <f>IF(Roster!$L$6=0,"",Roster!$L$6)</f>
        <v>3</v>
      </c>
      <c r="R32" s="174"/>
      <c r="S32" s="541"/>
      <c r="T32" s="542"/>
      <c r="U32" s="542"/>
      <c r="V32" s="542"/>
      <c r="W32" s="542"/>
      <c r="X32" s="542"/>
      <c r="Y32" s="542"/>
      <c r="Z32" s="542"/>
      <c r="AA32" s="542"/>
      <c r="AB32" s="542"/>
      <c r="AC32" s="543"/>
      <c r="AD32" s="169"/>
      <c r="AF32" s="176">
        <f>IF(Roster!$L$7=0,"",Roster!$L$7)</f>
        <v>3</v>
      </c>
      <c r="AG32" s="174"/>
      <c r="AH32" s="541"/>
      <c r="AI32" s="542"/>
      <c r="AJ32" s="542"/>
      <c r="AK32" s="542"/>
      <c r="AL32" s="542"/>
      <c r="AM32" s="542"/>
      <c r="AN32" s="542"/>
      <c r="AO32" s="542"/>
      <c r="AP32" s="542"/>
      <c r="AQ32" s="542"/>
      <c r="AR32" s="543"/>
      <c r="AS32" s="169"/>
      <c r="AU32" s="176">
        <f>IF(Roster!$L$8=0,"",Roster!$L$8)</f>
        <v>3</v>
      </c>
      <c r="AV32" s="174"/>
      <c r="AW32" s="541"/>
      <c r="AX32" s="542"/>
      <c r="AY32" s="542"/>
      <c r="AZ32" s="542"/>
      <c r="BA32" s="542"/>
      <c r="BB32" s="542"/>
      <c r="BC32" s="542"/>
      <c r="BD32" s="542"/>
      <c r="BE32" s="542"/>
      <c r="BF32" s="542"/>
      <c r="BG32" s="543"/>
      <c r="BH32" s="169"/>
    </row>
    <row r="33" spans="2:60" ht="11.25" customHeight="1" x14ac:dyDescent="0.2">
      <c r="B33" s="173" t="str">
        <f>IF(Roster!$M$1=0,"",Roster!$M$1)</f>
        <v>AG</v>
      </c>
      <c r="C33" s="174"/>
      <c r="D33" s="541"/>
      <c r="E33" s="542"/>
      <c r="F33" s="542"/>
      <c r="G33" s="542"/>
      <c r="H33" s="542"/>
      <c r="I33" s="542"/>
      <c r="J33" s="542"/>
      <c r="K33" s="542"/>
      <c r="L33" s="542"/>
      <c r="M33" s="542"/>
      <c r="N33" s="543"/>
      <c r="O33" s="169"/>
      <c r="Q33" s="173" t="str">
        <f>IF(Roster!$M$1=0,"",Roster!$M$1)</f>
        <v>AG</v>
      </c>
      <c r="R33" s="174"/>
      <c r="S33" s="541"/>
      <c r="T33" s="542"/>
      <c r="U33" s="542"/>
      <c r="V33" s="542"/>
      <c r="W33" s="542"/>
      <c r="X33" s="542"/>
      <c r="Y33" s="542"/>
      <c r="Z33" s="542"/>
      <c r="AA33" s="542"/>
      <c r="AB33" s="542"/>
      <c r="AC33" s="543"/>
      <c r="AD33" s="169"/>
      <c r="AF33" s="173" t="str">
        <f>IF(Roster!$M$1=0,"",Roster!$M$1)</f>
        <v>AG</v>
      </c>
      <c r="AG33" s="174"/>
      <c r="AH33" s="541"/>
      <c r="AI33" s="542"/>
      <c r="AJ33" s="542"/>
      <c r="AK33" s="542"/>
      <c r="AL33" s="542"/>
      <c r="AM33" s="542"/>
      <c r="AN33" s="542"/>
      <c r="AO33" s="542"/>
      <c r="AP33" s="542"/>
      <c r="AQ33" s="542"/>
      <c r="AR33" s="543"/>
      <c r="AS33" s="169"/>
      <c r="AU33" s="173" t="str">
        <f>IF(Roster!$M$1=0,"",Roster!$M$1)</f>
        <v>AG</v>
      </c>
      <c r="AV33" s="174"/>
      <c r="AW33" s="541"/>
      <c r="AX33" s="542"/>
      <c r="AY33" s="542"/>
      <c r="AZ33" s="542"/>
      <c r="BA33" s="542"/>
      <c r="BB33" s="542"/>
      <c r="BC33" s="542"/>
      <c r="BD33" s="542"/>
      <c r="BE33" s="542"/>
      <c r="BF33" s="542"/>
      <c r="BG33" s="543"/>
      <c r="BH33" s="169"/>
    </row>
    <row r="34" spans="2:60" ht="37.5" customHeight="1" x14ac:dyDescent="0.2">
      <c r="B34" s="176" t="str">
        <f>IF(Roster!$M$5=0&amp;"+","",Roster!$M$5)</f>
        <v>4+</v>
      </c>
      <c r="C34" s="174"/>
      <c r="D34" s="541"/>
      <c r="E34" s="542"/>
      <c r="F34" s="542"/>
      <c r="G34" s="542"/>
      <c r="H34" s="542"/>
      <c r="I34" s="542"/>
      <c r="J34" s="542"/>
      <c r="K34" s="542"/>
      <c r="L34" s="542"/>
      <c r="M34" s="542"/>
      <c r="N34" s="543"/>
      <c r="O34" s="169"/>
      <c r="Q34" s="176" t="str">
        <f>IF(Roster!$M$6=0&amp;"+","",Roster!$M$6)</f>
        <v>4+</v>
      </c>
      <c r="R34" s="174"/>
      <c r="S34" s="541"/>
      <c r="T34" s="542"/>
      <c r="U34" s="542"/>
      <c r="V34" s="542"/>
      <c r="W34" s="542"/>
      <c r="X34" s="542"/>
      <c r="Y34" s="542"/>
      <c r="Z34" s="542"/>
      <c r="AA34" s="542"/>
      <c r="AB34" s="542"/>
      <c r="AC34" s="543"/>
      <c r="AD34" s="169"/>
      <c r="AF34" s="176" t="str">
        <f>IF(Roster!$M$7=0&amp;"+","",Roster!$M$7)</f>
        <v>4+</v>
      </c>
      <c r="AG34" s="174"/>
      <c r="AH34" s="541"/>
      <c r="AI34" s="542"/>
      <c r="AJ34" s="542"/>
      <c r="AK34" s="542"/>
      <c r="AL34" s="542"/>
      <c r="AM34" s="542"/>
      <c r="AN34" s="542"/>
      <c r="AO34" s="542"/>
      <c r="AP34" s="542"/>
      <c r="AQ34" s="542"/>
      <c r="AR34" s="543"/>
      <c r="AS34" s="169"/>
      <c r="AU34" s="176" t="str">
        <f>IF(Roster!$M$8=0&amp;"+","",Roster!$M$8)</f>
        <v>4+</v>
      </c>
      <c r="AV34" s="174"/>
      <c r="AW34" s="541"/>
      <c r="AX34" s="542"/>
      <c r="AY34" s="542"/>
      <c r="AZ34" s="542"/>
      <c r="BA34" s="542"/>
      <c r="BB34" s="542"/>
      <c r="BC34" s="542"/>
      <c r="BD34" s="542"/>
      <c r="BE34" s="542"/>
      <c r="BF34" s="542"/>
      <c r="BG34" s="543"/>
      <c r="BH34" s="169"/>
    </row>
    <row r="35" spans="2:60" ht="11.25" customHeight="1" x14ac:dyDescent="0.2">
      <c r="B35" s="173" t="str">
        <f>IF(Roster!$N$1=0,"",Roster!$N$1)</f>
        <v>PA</v>
      </c>
      <c r="C35" s="174"/>
      <c r="D35" s="541"/>
      <c r="E35" s="542"/>
      <c r="F35" s="542"/>
      <c r="G35" s="542"/>
      <c r="H35" s="542"/>
      <c r="I35" s="542"/>
      <c r="J35" s="542"/>
      <c r="K35" s="542"/>
      <c r="L35" s="542"/>
      <c r="M35" s="542"/>
      <c r="N35" s="543"/>
      <c r="O35" s="178"/>
      <c r="Q35" s="173" t="str">
        <f>IF(Roster!$N$1=0,"",Roster!$N$1)</f>
        <v>PA</v>
      </c>
      <c r="R35" s="174"/>
      <c r="S35" s="541"/>
      <c r="T35" s="542"/>
      <c r="U35" s="542"/>
      <c r="V35" s="542"/>
      <c r="W35" s="542"/>
      <c r="X35" s="542"/>
      <c r="Y35" s="542"/>
      <c r="Z35" s="542"/>
      <c r="AA35" s="542"/>
      <c r="AB35" s="542"/>
      <c r="AC35" s="543"/>
      <c r="AD35" s="178"/>
      <c r="AF35" s="173" t="str">
        <f>IF(Roster!$N$1=0,"",Roster!$N$1)</f>
        <v>PA</v>
      </c>
      <c r="AG35" s="174"/>
      <c r="AH35" s="541"/>
      <c r="AI35" s="542"/>
      <c r="AJ35" s="542"/>
      <c r="AK35" s="542"/>
      <c r="AL35" s="542"/>
      <c r="AM35" s="542"/>
      <c r="AN35" s="542"/>
      <c r="AO35" s="542"/>
      <c r="AP35" s="542"/>
      <c r="AQ35" s="542"/>
      <c r="AR35" s="543"/>
      <c r="AS35" s="178"/>
      <c r="AU35" s="173" t="str">
        <f>IF(Roster!$N$1=0,"",Roster!$N$1)</f>
        <v>PA</v>
      </c>
      <c r="AV35" s="174"/>
      <c r="AW35" s="541"/>
      <c r="AX35" s="542"/>
      <c r="AY35" s="542"/>
      <c r="AZ35" s="542"/>
      <c r="BA35" s="542"/>
      <c r="BB35" s="542"/>
      <c r="BC35" s="542"/>
      <c r="BD35" s="542"/>
      <c r="BE35" s="542"/>
      <c r="BF35" s="542"/>
      <c r="BG35" s="543"/>
      <c r="BH35" s="178"/>
    </row>
    <row r="36" spans="2:60" ht="6" customHeight="1" x14ac:dyDescent="0.2">
      <c r="B36" s="530" t="str">
        <f>IF(Roster!$N$5=0&amp;"+","",Roster!$N$5)</f>
        <v>6+</v>
      </c>
      <c r="C36" s="174"/>
      <c r="D36" s="544"/>
      <c r="E36" s="545"/>
      <c r="F36" s="545"/>
      <c r="G36" s="545"/>
      <c r="H36" s="545"/>
      <c r="I36" s="545"/>
      <c r="J36" s="545"/>
      <c r="K36" s="545"/>
      <c r="L36" s="545"/>
      <c r="M36" s="545"/>
      <c r="N36" s="546"/>
      <c r="O36" s="180"/>
      <c r="Q36" s="530" t="str">
        <f>IF(Roster!$N$6=0&amp;"+","",Roster!$N$6)</f>
        <v>6+</v>
      </c>
      <c r="R36" s="174"/>
      <c r="S36" s="544"/>
      <c r="T36" s="545"/>
      <c r="U36" s="545"/>
      <c r="V36" s="545"/>
      <c r="W36" s="545"/>
      <c r="X36" s="545"/>
      <c r="Y36" s="545"/>
      <c r="Z36" s="545"/>
      <c r="AA36" s="545"/>
      <c r="AB36" s="545"/>
      <c r="AC36" s="546"/>
      <c r="AD36" s="180"/>
      <c r="AF36" s="530" t="str">
        <f>IF(Roster!$N$7=0&amp;"+","",Roster!$N$7)</f>
        <v>6+</v>
      </c>
      <c r="AG36" s="174"/>
      <c r="AH36" s="544"/>
      <c r="AI36" s="545"/>
      <c r="AJ36" s="545"/>
      <c r="AK36" s="545"/>
      <c r="AL36" s="545"/>
      <c r="AM36" s="545"/>
      <c r="AN36" s="545"/>
      <c r="AO36" s="545"/>
      <c r="AP36" s="545"/>
      <c r="AQ36" s="545"/>
      <c r="AR36" s="546"/>
      <c r="AS36" s="180"/>
      <c r="AU36" s="530" t="str">
        <f>IF(Roster!$N$8=0&amp;"+","",Roster!$N$8)</f>
        <v>6+</v>
      </c>
      <c r="AV36" s="174"/>
      <c r="AW36" s="544"/>
      <c r="AX36" s="545"/>
      <c r="AY36" s="545"/>
      <c r="AZ36" s="545"/>
      <c r="BA36" s="545"/>
      <c r="BB36" s="545"/>
      <c r="BC36" s="545"/>
      <c r="BD36" s="545"/>
      <c r="BE36" s="545"/>
      <c r="BF36" s="545"/>
      <c r="BG36" s="546"/>
      <c r="BH36" s="180"/>
    </row>
    <row r="37" spans="2:60" ht="4.5" customHeight="1" x14ac:dyDescent="0.2">
      <c r="B37" s="531"/>
      <c r="C37" s="172"/>
      <c r="D37" s="181"/>
      <c r="E37" s="179"/>
      <c r="F37" s="181"/>
      <c r="G37" s="179"/>
      <c r="H37" s="181"/>
      <c r="I37" s="179"/>
      <c r="J37" s="181"/>
      <c r="K37" s="179"/>
      <c r="L37" s="181"/>
      <c r="M37" s="179"/>
      <c r="N37" s="181"/>
      <c r="O37" s="180"/>
      <c r="Q37" s="531"/>
      <c r="R37" s="172"/>
      <c r="S37" s="181"/>
      <c r="T37" s="179"/>
      <c r="U37" s="181"/>
      <c r="V37" s="179"/>
      <c r="W37" s="181"/>
      <c r="X37" s="179"/>
      <c r="Y37" s="181"/>
      <c r="Z37" s="179"/>
      <c r="AA37" s="181"/>
      <c r="AB37" s="179"/>
      <c r="AC37" s="181"/>
      <c r="AD37" s="180"/>
      <c r="AF37" s="531"/>
      <c r="AG37" s="172"/>
      <c r="AH37" s="181"/>
      <c r="AI37" s="179"/>
      <c r="AJ37" s="181"/>
      <c r="AK37" s="179"/>
      <c r="AL37" s="181"/>
      <c r="AM37" s="179"/>
      <c r="AN37" s="181"/>
      <c r="AO37" s="179"/>
      <c r="AP37" s="181"/>
      <c r="AQ37" s="179"/>
      <c r="AR37" s="181"/>
      <c r="AS37" s="180"/>
      <c r="AU37" s="531"/>
      <c r="AV37" s="172"/>
      <c r="AW37" s="181"/>
      <c r="AX37" s="179"/>
      <c r="AY37" s="181"/>
      <c r="AZ37" s="179"/>
      <c r="BA37" s="181"/>
      <c r="BB37" s="179"/>
      <c r="BC37" s="181"/>
      <c r="BD37" s="179"/>
      <c r="BE37" s="181"/>
      <c r="BF37" s="179"/>
      <c r="BG37" s="181"/>
      <c r="BH37" s="180"/>
    </row>
    <row r="38" spans="2:60" ht="11.25" customHeight="1" x14ac:dyDescent="0.2">
      <c r="B38" s="531"/>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1"/>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1"/>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1"/>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31"/>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31"/>
      <c r="R39" s="175"/>
      <c r="S39" s="212" t="str">
        <f>IF(Roster!$AD$6=0,"",Roster!$AD$6)</f>
        <v/>
      </c>
      <c r="T39" s="207"/>
      <c r="U39" s="212">
        <f>IF((SUM(W39,Y39,AA39))=0,"",(SUM(W39,Y39,AA39)))</f>
        <v>2</v>
      </c>
      <c r="V39" s="207"/>
      <c r="W39" s="212">
        <f>IF(Roster!$AG$6=0,"",Roster!$AG$6)</f>
        <v>1</v>
      </c>
      <c r="X39" s="207"/>
      <c r="Y39" s="212" t="str">
        <f>IF(Roster!$AH$6=0,"",Roster!$AH$6)</f>
        <v/>
      </c>
      <c r="Z39" s="207"/>
      <c r="AA39" s="212">
        <f>IF(Roster!$AI$6=0,"",Roster!$AI$6)</f>
        <v>1</v>
      </c>
      <c r="AB39" s="207"/>
      <c r="AC39" s="212" t="str">
        <f>IF(Roster!$AC$6=0,"",Roster!$AC$6)</f>
        <v/>
      </c>
      <c r="AD39" s="180"/>
      <c r="AF39" s="531"/>
      <c r="AG39" s="175"/>
      <c r="AH39" s="212" t="str">
        <f>IF(Roster!$AD$7=0,"",Roster!$AD$7)</f>
        <v/>
      </c>
      <c r="AI39" s="207"/>
      <c r="AJ39" s="212">
        <f>IF((SUM(AL39,AN39,AP39))=0,"",(SUM(AL39,AN39,AP39)))</f>
        <v>1</v>
      </c>
      <c r="AK39" s="207"/>
      <c r="AL39" s="212" t="str">
        <f>IF(Roster!$AG$7=0,"",Roster!$AG$7)</f>
        <v/>
      </c>
      <c r="AM39" s="207"/>
      <c r="AN39" s="212" t="str">
        <f>IF(Roster!$AH$7=0,"",Roster!$AH$7)</f>
        <v/>
      </c>
      <c r="AO39" s="207"/>
      <c r="AP39" s="212">
        <f>IF(Roster!$AI$7=0,"",Roster!$AI$7)</f>
        <v>1</v>
      </c>
      <c r="AQ39" s="207"/>
      <c r="AR39" s="212" t="str">
        <f>IF(Roster!$AC$7=0,"",Roster!$AC$7)</f>
        <v/>
      </c>
      <c r="AS39" s="180"/>
      <c r="AU39" s="531"/>
      <c r="AV39" s="175"/>
      <c r="AW39" s="212" t="str">
        <f>IF(Roster!$AD$8=0,"",Roster!$AD$8)</f>
        <v/>
      </c>
      <c r="AX39" s="207"/>
      <c r="AY39" s="212">
        <f>IF((SUM(BA39,BC39,BE39))=0,"",(SUM(BA39,BC39,BE39)))</f>
        <v>1</v>
      </c>
      <c r="AZ39" s="207"/>
      <c r="BA39" s="212" t="str">
        <f>IF(Roster!$AG$8=0,"",Roster!$AG$8)</f>
        <v/>
      </c>
      <c r="BB39" s="207"/>
      <c r="BC39" s="212">
        <f>IF(Roster!$AH$8=0,"",Roster!$AH$8)</f>
        <v>1</v>
      </c>
      <c r="BD39" s="207"/>
      <c r="BE39" s="212" t="str">
        <f>IF(Roster!$AI$8=0,"",Roster!$AI$8)</f>
        <v/>
      </c>
      <c r="BF39" s="207"/>
      <c r="BG39" s="212" t="str">
        <f>IF(Roster!$AC$8=0,"",Roster!$AC$8)</f>
        <v/>
      </c>
      <c r="BH39" s="180"/>
    </row>
    <row r="40" spans="2:60" ht="4.5" customHeight="1" x14ac:dyDescent="0.2">
      <c r="B40" s="336"/>
      <c r="C40" s="175"/>
      <c r="D40" s="208"/>
      <c r="E40" s="207"/>
      <c r="F40" s="208"/>
      <c r="G40" s="207"/>
      <c r="H40" s="208"/>
      <c r="I40" s="207"/>
      <c r="J40" s="208"/>
      <c r="K40" s="207"/>
      <c r="L40" s="208"/>
      <c r="M40" s="207"/>
      <c r="N40" s="208"/>
      <c r="O40" s="180"/>
      <c r="Q40" s="336"/>
      <c r="R40" s="175"/>
      <c r="S40" s="208"/>
      <c r="T40" s="207"/>
      <c r="U40" s="208"/>
      <c r="V40" s="207"/>
      <c r="W40" s="208"/>
      <c r="X40" s="207"/>
      <c r="Y40" s="208"/>
      <c r="Z40" s="207"/>
      <c r="AA40" s="208"/>
      <c r="AB40" s="207"/>
      <c r="AC40" s="208"/>
      <c r="AD40" s="180"/>
      <c r="AF40" s="336"/>
      <c r="AG40" s="175"/>
      <c r="AH40" s="208"/>
      <c r="AI40" s="207"/>
      <c r="AJ40" s="208"/>
      <c r="AK40" s="207"/>
      <c r="AL40" s="208"/>
      <c r="AM40" s="207"/>
      <c r="AN40" s="208"/>
      <c r="AO40" s="207"/>
      <c r="AP40" s="208"/>
      <c r="AQ40" s="207"/>
      <c r="AR40" s="208"/>
      <c r="AS40" s="180"/>
      <c r="AU40" s="336"/>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30" t="str">
        <f>IF(Roster!$O$5=0&amp;"+","",Roster!$O$5)</f>
        <v>10+</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30" t="str">
        <f>IF(Roster!$O$6=0&amp;"+","",Roster!$O$6)</f>
        <v>10+</v>
      </c>
      <c r="R42" s="175"/>
      <c r="S42" s="212" t="str">
        <f>IF(Roster!$AE$6=0,"",Roster!$AE$6)</f>
        <v/>
      </c>
      <c r="T42" s="207"/>
      <c r="U42" s="212" t="str">
        <f>IF(Roster!$AF$6=0,"",Roster!$AF$6)</f>
        <v/>
      </c>
      <c r="V42" s="207"/>
      <c r="W42" s="212" t="str">
        <f>IF(Roster!$AB$6=0,"",Roster!$AB$6)</f>
        <v/>
      </c>
      <c r="X42" s="207"/>
      <c r="Y42" s="212" t="str">
        <f>IF(Roster!$AJ$6=0,"",Roster!$AJ$6)</f>
        <v/>
      </c>
      <c r="Z42" s="207"/>
      <c r="AA42" s="212">
        <f>IF(Roster!$AK$6=0,"",Roster!$AK$6)</f>
        <v>4</v>
      </c>
      <c r="AB42" s="207"/>
      <c r="AC42" s="212" t="str">
        <f>IF(Roster!$AA$6=0,"",Roster!$AA$6)</f>
        <v/>
      </c>
      <c r="AD42" s="182"/>
      <c r="AF42" s="530" t="str">
        <f>IF(Roster!$O$7=0&amp;"+","",Roster!$O$7)</f>
        <v>10+</v>
      </c>
      <c r="AG42" s="175"/>
      <c r="AH42" s="212" t="str">
        <f>IF(Roster!$AE$7=0,"",Roster!$AE$7)</f>
        <v/>
      </c>
      <c r="AI42" s="207"/>
      <c r="AJ42" s="212" t="str">
        <f>IF(Roster!$AF$7=0,"",Roster!$AF$7)</f>
        <v/>
      </c>
      <c r="AK42" s="207"/>
      <c r="AL42" s="212" t="str">
        <f>IF(Roster!$AB$7=0,"",Roster!$AB$7)</f>
        <v/>
      </c>
      <c r="AM42" s="207"/>
      <c r="AN42" s="212">
        <f>IF(Roster!$AJ$7=0,"",Roster!$AJ$7)</f>
        <v>1</v>
      </c>
      <c r="AO42" s="207"/>
      <c r="AP42" s="212">
        <f>IF(Roster!$AK$7=0,"",Roster!$AK$7)</f>
        <v>6</v>
      </c>
      <c r="AQ42" s="207"/>
      <c r="AR42" s="212" t="str">
        <f>IF(Roster!$AA$7=0,"",Roster!$AA$7)</f>
        <v/>
      </c>
      <c r="AS42" s="182"/>
      <c r="AU42" s="530" t="str">
        <f>IF(Roster!$O$8=0&amp;"+","",Roster!$O$8)</f>
        <v>10+</v>
      </c>
      <c r="AV42" s="175"/>
      <c r="AW42" s="212" t="str">
        <f>IF(Roster!$AE$8=0,"",Roster!$AE$8)</f>
        <v/>
      </c>
      <c r="AX42" s="207"/>
      <c r="AY42" s="212" t="str">
        <f>IF(Roster!$AF$8=0,"",Roster!$AF$8)</f>
        <v/>
      </c>
      <c r="AZ42" s="207"/>
      <c r="BA42" s="212" t="str">
        <f>IF(Roster!$AB$8=0,"",Roster!$AB$8)</f>
        <v/>
      </c>
      <c r="BB42" s="207"/>
      <c r="BC42" s="212" t="str">
        <f>IF(Roster!$AJ$8=0,"",Roster!$AJ$8)</f>
        <v/>
      </c>
      <c r="BD42" s="207"/>
      <c r="BE42" s="212">
        <f>IF(Roster!$AK$8=0,"",Roster!$AK$8)</f>
        <v>2</v>
      </c>
      <c r="BF42" s="207"/>
      <c r="BG42" s="212" t="str">
        <f>IF(Roster!$AA$8=0,"",Roster!$AA$8)</f>
        <v/>
      </c>
      <c r="BH42" s="182"/>
    </row>
    <row r="43" spans="2:60" ht="4.5" customHeight="1" x14ac:dyDescent="0.2">
      <c r="B43" s="531"/>
      <c r="C43" s="175"/>
      <c r="D43" s="207"/>
      <c r="E43" s="207"/>
      <c r="F43" s="207"/>
      <c r="G43" s="207"/>
      <c r="H43" s="207"/>
      <c r="I43" s="207"/>
      <c r="J43" s="207"/>
      <c r="K43" s="207"/>
      <c r="L43" s="207"/>
      <c r="M43" s="207"/>
      <c r="N43" s="210"/>
      <c r="O43" s="182"/>
      <c r="Q43" s="531"/>
      <c r="R43" s="175"/>
      <c r="S43" s="207"/>
      <c r="T43" s="207"/>
      <c r="U43" s="207"/>
      <c r="V43" s="207"/>
      <c r="W43" s="207"/>
      <c r="X43" s="207"/>
      <c r="Y43" s="207"/>
      <c r="Z43" s="207"/>
      <c r="AA43" s="207"/>
      <c r="AB43" s="207"/>
      <c r="AC43" s="210"/>
      <c r="AD43" s="182"/>
      <c r="AF43" s="531"/>
      <c r="AG43" s="175"/>
      <c r="AH43" s="207"/>
      <c r="AI43" s="207"/>
      <c r="AJ43" s="207"/>
      <c r="AK43" s="207"/>
      <c r="AL43" s="207"/>
      <c r="AM43" s="207"/>
      <c r="AN43" s="207"/>
      <c r="AO43" s="207"/>
      <c r="AP43" s="207"/>
      <c r="AQ43" s="207"/>
      <c r="AR43" s="210"/>
      <c r="AS43" s="182"/>
      <c r="AU43" s="531"/>
      <c r="AV43" s="175"/>
      <c r="AW43" s="207"/>
      <c r="AX43" s="207"/>
      <c r="AY43" s="207"/>
      <c r="AZ43" s="207"/>
      <c r="BA43" s="207"/>
      <c r="BB43" s="207"/>
      <c r="BC43" s="207"/>
      <c r="BD43" s="207"/>
      <c r="BE43" s="207"/>
      <c r="BF43" s="207"/>
      <c r="BG43" s="210"/>
      <c r="BH43" s="182"/>
    </row>
    <row r="44" spans="2:60" ht="11.25" customHeight="1" x14ac:dyDescent="0.2">
      <c r="B44" s="531"/>
      <c r="C44" s="175"/>
      <c r="D44" s="562" t="str">
        <f>IF(Roster!$K$25="Italiano","ABILITÀ &amp; TRATTI",(IF(Roster!$K$25="Español","HABILIDADES Y RASGOS","SKILLS &amp; TRAITS")))</f>
        <v>SKILLS &amp; TRAITS</v>
      </c>
      <c r="E44" s="563"/>
      <c r="F44" s="563"/>
      <c r="G44" s="563"/>
      <c r="H44" s="563"/>
      <c r="I44" s="563"/>
      <c r="J44" s="563"/>
      <c r="K44" s="563"/>
      <c r="L44" s="563"/>
      <c r="M44" s="563"/>
      <c r="N44" s="564"/>
      <c r="O44" s="182"/>
      <c r="Q44" s="531"/>
      <c r="R44" s="175"/>
      <c r="S44" s="562" t="str">
        <f>IF(Roster!$K$25="Italiano","ABILITÀ &amp; TRATTI",(IF(Roster!$K$25="Español","HABILIDADES Y RASGOS","SKILLS &amp; TRAITS")))</f>
        <v>SKILLS &amp; TRAITS</v>
      </c>
      <c r="T44" s="563"/>
      <c r="U44" s="563"/>
      <c r="V44" s="563"/>
      <c r="W44" s="563"/>
      <c r="X44" s="563"/>
      <c r="Y44" s="563"/>
      <c r="Z44" s="563"/>
      <c r="AA44" s="563"/>
      <c r="AB44" s="563"/>
      <c r="AC44" s="564"/>
      <c r="AD44" s="182"/>
      <c r="AF44" s="531"/>
      <c r="AG44" s="175"/>
      <c r="AH44" s="562" t="str">
        <f>IF(Roster!$K$25="Italiano","ABILITÀ &amp; TRATTI",(IF(Roster!$K$25="Español","HABILIDADES Y RASGOS","SKILLS &amp; TRAITS")))</f>
        <v>SKILLS &amp; TRAITS</v>
      </c>
      <c r="AI44" s="563"/>
      <c r="AJ44" s="563"/>
      <c r="AK44" s="563"/>
      <c r="AL44" s="563"/>
      <c r="AM44" s="563"/>
      <c r="AN44" s="563"/>
      <c r="AO44" s="563"/>
      <c r="AP44" s="563"/>
      <c r="AQ44" s="563"/>
      <c r="AR44" s="564"/>
      <c r="AS44" s="182"/>
      <c r="AU44" s="531"/>
      <c r="AV44" s="175"/>
      <c r="AW44" s="562" t="str">
        <f>IF(Roster!$K$25="Italiano","ABILITÀ &amp; TRATTI",(IF(Roster!$K$25="Español","HABILIDADES Y RASGOS","SKILLS &amp; TRAITS")))</f>
        <v>SKILLS &amp; TRAITS</v>
      </c>
      <c r="AX44" s="563"/>
      <c r="AY44" s="563"/>
      <c r="AZ44" s="563"/>
      <c r="BA44" s="563"/>
      <c r="BB44" s="563"/>
      <c r="BC44" s="563"/>
      <c r="BD44" s="563"/>
      <c r="BE44" s="563"/>
      <c r="BF44" s="563"/>
      <c r="BG44" s="564"/>
      <c r="BH44" s="182"/>
    </row>
    <row r="45" spans="2:60" ht="6.75" customHeight="1" x14ac:dyDescent="0.2">
      <c r="B45" s="336"/>
      <c r="C45" s="175"/>
      <c r="D45" s="565" t="str">
        <f>IF(Roster!$P$5=0&amp;AQ56,"",Roster!$P$5)</f>
        <v>Block, Iron Hard Skin, Thick Skull</v>
      </c>
      <c r="E45" s="490"/>
      <c r="F45" s="490"/>
      <c r="G45" s="490"/>
      <c r="H45" s="490"/>
      <c r="I45" s="490"/>
      <c r="J45" s="490"/>
      <c r="K45" s="490"/>
      <c r="L45" s="490"/>
      <c r="M45" s="490"/>
      <c r="N45" s="566"/>
      <c r="O45" s="182"/>
      <c r="Q45" s="336"/>
      <c r="R45" s="175"/>
      <c r="S45" s="565" t="str">
        <f>IF(Roster!$P$6=0&amp;BF66,"",Roster!$P$6)</f>
        <v>Block, Iron Hard Skin, Thick Skull</v>
      </c>
      <c r="T45" s="490"/>
      <c r="U45" s="490"/>
      <c r="V45" s="490"/>
      <c r="W45" s="490"/>
      <c r="X45" s="490"/>
      <c r="Y45" s="490"/>
      <c r="Z45" s="490"/>
      <c r="AA45" s="490"/>
      <c r="AB45" s="490"/>
      <c r="AC45" s="566"/>
      <c r="AD45" s="182"/>
      <c r="AF45" s="336"/>
      <c r="AG45" s="175"/>
      <c r="AH45" s="565" t="str">
        <f>IF(Roster!$P$7=0&amp;BU76,"",Roster!$P$7)</f>
        <v>Block, Iron Hard Skin, Thick Skull, Guard</v>
      </c>
      <c r="AI45" s="490"/>
      <c r="AJ45" s="490"/>
      <c r="AK45" s="490"/>
      <c r="AL45" s="490"/>
      <c r="AM45" s="490"/>
      <c r="AN45" s="490"/>
      <c r="AO45" s="490"/>
      <c r="AP45" s="490"/>
      <c r="AQ45" s="490"/>
      <c r="AR45" s="566"/>
      <c r="AS45" s="182"/>
      <c r="AU45" s="336"/>
      <c r="AV45" s="175"/>
      <c r="AW45" s="565" t="str">
        <f>IF(Roster!$P$8=0&amp;CJ86,"",Roster!$P$8)</f>
        <v>Brawler, Breathe Fire, Disturbing Presence, Thick Skull</v>
      </c>
      <c r="AX45" s="490"/>
      <c r="AY45" s="490"/>
      <c r="AZ45" s="490"/>
      <c r="BA45" s="490"/>
      <c r="BB45" s="490"/>
      <c r="BC45" s="490"/>
      <c r="BD45" s="490"/>
      <c r="BE45" s="490"/>
      <c r="BF45" s="490"/>
      <c r="BG45" s="566"/>
      <c r="BH45" s="182"/>
    </row>
    <row r="46" spans="2:60" ht="11.25" customHeight="1" x14ac:dyDescent="0.2">
      <c r="B46" s="173" t="str">
        <f>IF(Roster!$AO$1=0,"",Roster!$AO$1)</f>
        <v>COST</v>
      </c>
      <c r="C46" s="174"/>
      <c r="D46" s="567"/>
      <c r="E46" s="568"/>
      <c r="F46" s="568"/>
      <c r="G46" s="568"/>
      <c r="H46" s="568"/>
      <c r="I46" s="568"/>
      <c r="J46" s="568"/>
      <c r="K46" s="568"/>
      <c r="L46" s="568"/>
      <c r="M46" s="568"/>
      <c r="N46" s="566"/>
      <c r="O46" s="185"/>
      <c r="Q46" s="173" t="str">
        <f>IF(Roster!$AO$1=0,"",Roster!$AO$1)</f>
        <v>COST</v>
      </c>
      <c r="R46" s="174"/>
      <c r="S46" s="567"/>
      <c r="T46" s="568"/>
      <c r="U46" s="568"/>
      <c r="V46" s="568"/>
      <c r="W46" s="568"/>
      <c r="X46" s="568"/>
      <c r="Y46" s="568"/>
      <c r="Z46" s="568"/>
      <c r="AA46" s="568"/>
      <c r="AB46" s="568"/>
      <c r="AC46" s="566"/>
      <c r="AD46" s="185"/>
      <c r="AF46" s="173" t="str">
        <f>IF(Roster!$AO$1=0,"",Roster!$AO$1)</f>
        <v>COST</v>
      </c>
      <c r="AG46" s="174"/>
      <c r="AH46" s="567"/>
      <c r="AI46" s="568"/>
      <c r="AJ46" s="568"/>
      <c r="AK46" s="568"/>
      <c r="AL46" s="568"/>
      <c r="AM46" s="568"/>
      <c r="AN46" s="568"/>
      <c r="AO46" s="568"/>
      <c r="AP46" s="568"/>
      <c r="AQ46" s="568"/>
      <c r="AR46" s="566"/>
      <c r="AS46" s="185"/>
      <c r="AU46" s="173" t="str">
        <f>IF(Roster!$AO$1=0,"",Roster!$AO$1)</f>
        <v>COST</v>
      </c>
      <c r="AV46" s="174"/>
      <c r="AW46" s="567"/>
      <c r="AX46" s="568"/>
      <c r="AY46" s="568"/>
      <c r="AZ46" s="568"/>
      <c r="BA46" s="568"/>
      <c r="BB46" s="568"/>
      <c r="BC46" s="568"/>
      <c r="BD46" s="568"/>
      <c r="BE46" s="568"/>
      <c r="BF46" s="568"/>
      <c r="BG46" s="566"/>
      <c r="BH46" s="185"/>
    </row>
    <row r="47" spans="2:60" ht="34.5" customHeight="1" x14ac:dyDescent="0.2">
      <c r="B47" s="187">
        <f>IF(Roster!$AO$5=0,"",Roster!$AO$5)</f>
        <v>70000</v>
      </c>
      <c r="C47" s="188"/>
      <c r="D47" s="569"/>
      <c r="E47" s="570"/>
      <c r="F47" s="570"/>
      <c r="G47" s="570"/>
      <c r="H47" s="570"/>
      <c r="I47" s="570"/>
      <c r="J47" s="570"/>
      <c r="K47" s="570"/>
      <c r="L47" s="570"/>
      <c r="M47" s="570"/>
      <c r="N47" s="571"/>
      <c r="O47" s="185"/>
      <c r="Q47" s="187">
        <f>IF(Roster!$AO$6=0,"",Roster!$AO$6)</f>
        <v>70000</v>
      </c>
      <c r="R47" s="188"/>
      <c r="S47" s="569"/>
      <c r="T47" s="570"/>
      <c r="U47" s="570"/>
      <c r="V47" s="570"/>
      <c r="W47" s="570"/>
      <c r="X47" s="570"/>
      <c r="Y47" s="570"/>
      <c r="Z47" s="570"/>
      <c r="AA47" s="570"/>
      <c r="AB47" s="570"/>
      <c r="AC47" s="571"/>
      <c r="AD47" s="185"/>
      <c r="AF47" s="187">
        <f>IF(Roster!$AO$7=0,"",Roster!$AO$7)</f>
        <v>90000</v>
      </c>
      <c r="AG47" s="188"/>
      <c r="AH47" s="569"/>
      <c r="AI47" s="570"/>
      <c r="AJ47" s="570"/>
      <c r="AK47" s="570"/>
      <c r="AL47" s="570"/>
      <c r="AM47" s="570"/>
      <c r="AN47" s="570"/>
      <c r="AO47" s="570"/>
      <c r="AP47" s="570"/>
      <c r="AQ47" s="570"/>
      <c r="AR47" s="571"/>
      <c r="AS47" s="185"/>
      <c r="AU47" s="187">
        <f>IF(Roster!$AO$8=0,"",Roster!$AO$8)</f>
        <v>80000</v>
      </c>
      <c r="AV47" s="188"/>
      <c r="AW47" s="569"/>
      <c r="AX47" s="570"/>
      <c r="AY47" s="570"/>
      <c r="AZ47" s="570"/>
      <c r="BA47" s="570"/>
      <c r="BB47" s="570"/>
      <c r="BC47" s="570"/>
      <c r="BD47" s="570"/>
      <c r="BE47" s="570"/>
      <c r="BF47" s="570"/>
      <c r="BG47" s="571"/>
      <c r="BH47" s="185"/>
    </row>
    <row r="48" spans="2:60" ht="4.5" customHeight="1" x14ac:dyDescent="0.2">
      <c r="B48" s="572"/>
      <c r="C48" s="333"/>
      <c r="D48" s="333"/>
      <c r="E48" s="333"/>
      <c r="F48" s="333"/>
      <c r="G48" s="333"/>
      <c r="H48" s="333"/>
      <c r="I48" s="333"/>
      <c r="J48" s="333"/>
      <c r="K48" s="333"/>
      <c r="L48" s="333"/>
      <c r="M48" s="333"/>
      <c r="N48" s="335"/>
      <c r="O48" s="189"/>
      <c r="Q48" s="572"/>
      <c r="R48" s="333"/>
      <c r="S48" s="333"/>
      <c r="T48" s="333"/>
      <c r="U48" s="333"/>
      <c r="V48" s="333"/>
      <c r="W48" s="333"/>
      <c r="X48" s="333"/>
      <c r="Y48" s="333"/>
      <c r="Z48" s="333"/>
      <c r="AA48" s="333"/>
      <c r="AB48" s="333"/>
      <c r="AC48" s="335"/>
      <c r="AD48" s="189"/>
      <c r="AF48" s="572"/>
      <c r="AG48" s="333"/>
      <c r="AH48" s="333"/>
      <c r="AI48" s="333"/>
      <c r="AJ48" s="333"/>
      <c r="AK48" s="333"/>
      <c r="AL48" s="333"/>
      <c r="AM48" s="333"/>
      <c r="AN48" s="333"/>
      <c r="AO48" s="333"/>
      <c r="AP48" s="333"/>
      <c r="AQ48" s="333"/>
      <c r="AR48" s="335"/>
      <c r="AS48" s="189"/>
      <c r="AU48" s="572"/>
      <c r="AV48" s="333"/>
      <c r="AW48" s="333"/>
      <c r="AX48" s="333"/>
      <c r="AY48" s="333"/>
      <c r="AZ48" s="333"/>
      <c r="BA48" s="333"/>
      <c r="BB48" s="333"/>
      <c r="BC48" s="333"/>
      <c r="BD48" s="333"/>
      <c r="BE48" s="333"/>
      <c r="BF48" s="333"/>
      <c r="BG48" s="335"/>
      <c r="BH48" s="189"/>
    </row>
    <row r="49" spans="2:60" ht="11.25" customHeight="1" x14ac:dyDescent="0.2"/>
    <row r="50" spans="2:60" ht="4.5" customHeight="1" x14ac:dyDescent="0.2">
      <c r="B50" s="514" t="str">
        <f>IF(Roster!$A$9=0,"","#"&amp;Roster!$A$9)</f>
        <v>#8</v>
      </c>
      <c r="C50" s="167"/>
      <c r="D50" s="167"/>
      <c r="E50" s="167"/>
      <c r="F50" s="167"/>
      <c r="G50" s="167"/>
      <c r="H50" s="167"/>
      <c r="I50" s="167"/>
      <c r="J50" s="167"/>
      <c r="K50" s="167"/>
      <c r="L50" s="167"/>
      <c r="M50" s="167"/>
      <c r="N50" s="167"/>
      <c r="O50" s="168"/>
      <c r="Q50" s="514" t="str">
        <f>IF(Roster!$A$10=0,"","#"&amp;Roster!$A$10)</f>
        <v>#9</v>
      </c>
      <c r="R50" s="167"/>
      <c r="S50" s="167"/>
      <c r="T50" s="167"/>
      <c r="U50" s="167"/>
      <c r="V50" s="167"/>
      <c r="W50" s="167"/>
      <c r="X50" s="167"/>
      <c r="Y50" s="167"/>
      <c r="Z50" s="167"/>
      <c r="AA50" s="167"/>
      <c r="AB50" s="167"/>
      <c r="AC50" s="167"/>
      <c r="AD50" s="168"/>
      <c r="AF50" s="514" t="str">
        <f>IF(Roster!$A$11=0,"","#"&amp;Roster!$A$11)</f>
        <v>#10</v>
      </c>
      <c r="AG50" s="167"/>
      <c r="AH50" s="167"/>
      <c r="AI50" s="167"/>
      <c r="AJ50" s="167"/>
      <c r="AK50" s="167"/>
      <c r="AL50" s="167"/>
      <c r="AM50" s="167"/>
      <c r="AN50" s="167"/>
      <c r="AO50" s="167"/>
      <c r="AP50" s="167"/>
      <c r="AQ50" s="167"/>
      <c r="AR50" s="167"/>
      <c r="AS50" s="168"/>
      <c r="AU50" s="514" t="str">
        <f>IF(Roster!$A$12=0,"","#"&amp;Roster!$A$12)</f>
        <v>#11</v>
      </c>
      <c r="AV50" s="167"/>
      <c r="AW50" s="167"/>
      <c r="AX50" s="167"/>
      <c r="AY50" s="167"/>
      <c r="AZ50" s="167"/>
      <c r="BA50" s="167"/>
      <c r="BB50" s="167"/>
      <c r="BC50" s="167"/>
      <c r="BD50" s="167"/>
      <c r="BE50" s="167"/>
      <c r="BF50" s="167"/>
      <c r="BG50" s="167"/>
      <c r="BH50" s="168"/>
    </row>
    <row r="51" spans="2:60" ht="15" customHeight="1" x14ac:dyDescent="0.25">
      <c r="B51" s="515"/>
      <c r="C51" s="537" t="str">
        <f>IF(Roster!$B$9=0,"",Roster!$B$9)</f>
        <v/>
      </c>
      <c r="D51" s="304"/>
      <c r="E51" s="304"/>
      <c r="F51" s="304"/>
      <c r="G51" s="304"/>
      <c r="H51" s="304"/>
      <c r="I51" s="304"/>
      <c r="J51" s="304"/>
      <c r="K51" s="304"/>
      <c r="L51" s="304"/>
      <c r="M51" s="304"/>
      <c r="N51" s="305"/>
      <c r="O51" s="169"/>
      <c r="Q51" s="515"/>
      <c r="R51" s="537" t="str">
        <f>IF(Roster!$B$10=0,"",Roster!$B$10)</f>
        <v>Splitter</v>
      </c>
      <c r="S51" s="304"/>
      <c r="T51" s="304"/>
      <c r="U51" s="304"/>
      <c r="V51" s="304"/>
      <c r="W51" s="304"/>
      <c r="X51" s="304"/>
      <c r="Y51" s="304"/>
      <c r="Z51" s="304"/>
      <c r="AA51" s="304"/>
      <c r="AB51" s="304"/>
      <c r="AC51" s="305"/>
      <c r="AD51" s="169"/>
      <c r="AF51" s="515"/>
      <c r="AG51" s="537" t="str">
        <f>IF(Roster!$B$11=0,"",Roster!$B$11)</f>
        <v>Skorr</v>
      </c>
      <c r="AH51" s="304"/>
      <c r="AI51" s="304"/>
      <c r="AJ51" s="304"/>
      <c r="AK51" s="304"/>
      <c r="AL51" s="304"/>
      <c r="AM51" s="304"/>
      <c r="AN51" s="304"/>
      <c r="AO51" s="304"/>
      <c r="AP51" s="304"/>
      <c r="AQ51" s="304"/>
      <c r="AR51" s="305"/>
      <c r="AS51" s="169"/>
      <c r="AU51" s="515"/>
      <c r="AV51" s="537" t="str">
        <f>IF(Roster!$B$12=0,"",Roster!$B$12)</f>
        <v>Joint</v>
      </c>
      <c r="AW51" s="304"/>
      <c r="AX51" s="304"/>
      <c r="AY51" s="304"/>
      <c r="AZ51" s="304"/>
      <c r="BA51" s="304"/>
      <c r="BB51" s="304"/>
      <c r="BC51" s="304"/>
      <c r="BD51" s="304"/>
      <c r="BE51" s="304"/>
      <c r="BF51" s="304"/>
      <c r="BG51" s="305"/>
      <c r="BH51" s="169"/>
    </row>
    <row r="52" spans="2:60" ht="11.25" customHeight="1" x14ac:dyDescent="0.2">
      <c r="B52" s="516"/>
      <c r="C52" s="517" t="str">
        <f>IF(Roster!$D$9=0,"",Roster!$D$9)</f>
        <v/>
      </c>
      <c r="D52" s="304"/>
      <c r="E52" s="304"/>
      <c r="F52" s="304"/>
      <c r="G52" s="304"/>
      <c r="H52" s="304"/>
      <c r="I52" s="304"/>
      <c r="J52" s="304"/>
      <c r="K52" s="304"/>
      <c r="L52" s="304"/>
      <c r="M52" s="304"/>
      <c r="N52" s="305"/>
      <c r="O52" s="170"/>
      <c r="Q52" s="516"/>
      <c r="R52" s="517" t="str">
        <f>IF(Roster!$D$10=0,"",Roster!$D$10)</f>
        <v>Hobgoblin Lineman</v>
      </c>
      <c r="S52" s="304"/>
      <c r="T52" s="304"/>
      <c r="U52" s="304"/>
      <c r="V52" s="304"/>
      <c r="W52" s="304"/>
      <c r="X52" s="304"/>
      <c r="Y52" s="304"/>
      <c r="Z52" s="304"/>
      <c r="AA52" s="304"/>
      <c r="AB52" s="304"/>
      <c r="AC52" s="305"/>
      <c r="AD52" s="170"/>
      <c r="AF52" s="516"/>
      <c r="AG52" s="517" t="str">
        <f>IF(Roster!$D$11=0,"",Roster!$D$11)</f>
        <v>Hobgoblin Lineman</v>
      </c>
      <c r="AH52" s="304"/>
      <c r="AI52" s="304"/>
      <c r="AJ52" s="304"/>
      <c r="AK52" s="304"/>
      <c r="AL52" s="304"/>
      <c r="AM52" s="304"/>
      <c r="AN52" s="304"/>
      <c r="AO52" s="304"/>
      <c r="AP52" s="304"/>
      <c r="AQ52" s="304"/>
      <c r="AR52" s="305"/>
      <c r="AS52" s="170"/>
      <c r="AU52" s="516"/>
      <c r="AV52" s="517" t="str">
        <f>IF(Roster!$D$12=0,"",Roster!$D$12)</f>
        <v>Hobgoblin Lineman</v>
      </c>
      <c r="AW52" s="304"/>
      <c r="AX52" s="304"/>
      <c r="AY52" s="304"/>
      <c r="AZ52" s="304"/>
      <c r="BA52" s="304"/>
      <c r="BB52" s="304"/>
      <c r="BC52" s="304"/>
      <c r="BD52" s="304"/>
      <c r="BE52" s="304"/>
      <c r="BF52" s="304"/>
      <c r="BG52" s="305"/>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t="str">
        <f>IF(Roster!$K$9=0,"",Roster!$K$9)</f>
        <v/>
      </c>
      <c r="C54" s="174"/>
      <c r="D54" s="538"/>
      <c r="E54" s="539"/>
      <c r="F54" s="539"/>
      <c r="G54" s="539"/>
      <c r="H54" s="539"/>
      <c r="I54" s="539"/>
      <c r="J54" s="539"/>
      <c r="K54" s="539"/>
      <c r="L54" s="539"/>
      <c r="M54" s="539"/>
      <c r="N54" s="540"/>
      <c r="O54" s="169"/>
      <c r="Q54" s="176">
        <f>IF(Roster!$K$10=0,"",Roster!$K$10)</f>
        <v>6</v>
      </c>
      <c r="R54" s="174"/>
      <c r="S54" s="538"/>
      <c r="T54" s="539"/>
      <c r="U54" s="539"/>
      <c r="V54" s="539"/>
      <c r="W54" s="539"/>
      <c r="X54" s="539"/>
      <c r="Y54" s="539"/>
      <c r="Z54" s="539"/>
      <c r="AA54" s="539"/>
      <c r="AB54" s="539"/>
      <c r="AC54" s="540"/>
      <c r="AD54" s="169"/>
      <c r="AF54" s="176">
        <f>IF(Roster!$K$11=0,"",Roster!$K$11)</f>
        <v>6</v>
      </c>
      <c r="AG54" s="174"/>
      <c r="AH54" s="538"/>
      <c r="AI54" s="539"/>
      <c r="AJ54" s="539"/>
      <c r="AK54" s="539"/>
      <c r="AL54" s="539"/>
      <c r="AM54" s="539"/>
      <c r="AN54" s="539"/>
      <c r="AO54" s="539"/>
      <c r="AP54" s="539"/>
      <c r="AQ54" s="539"/>
      <c r="AR54" s="540"/>
      <c r="AS54" s="169"/>
      <c r="AU54" s="176">
        <f>IF(Roster!$K$12=0,"",Roster!$K$12)</f>
        <v>6</v>
      </c>
      <c r="AV54" s="174"/>
      <c r="AW54" s="538"/>
      <c r="AX54" s="539"/>
      <c r="AY54" s="539"/>
      <c r="AZ54" s="539"/>
      <c r="BA54" s="539"/>
      <c r="BB54" s="539"/>
      <c r="BC54" s="539"/>
      <c r="BD54" s="539"/>
      <c r="BE54" s="539"/>
      <c r="BF54" s="539"/>
      <c r="BG54" s="540"/>
      <c r="BH54" s="169"/>
    </row>
    <row r="55" spans="2:60" ht="11.25" customHeight="1" x14ac:dyDescent="0.2">
      <c r="B55" s="173" t="str">
        <f>IF(Roster!$L$1=0,"",Roster!$L$1)</f>
        <v>ST</v>
      </c>
      <c r="C55" s="174"/>
      <c r="D55" s="541"/>
      <c r="E55" s="542"/>
      <c r="F55" s="542"/>
      <c r="G55" s="542"/>
      <c r="H55" s="542"/>
      <c r="I55" s="542"/>
      <c r="J55" s="542"/>
      <c r="K55" s="542"/>
      <c r="L55" s="542"/>
      <c r="M55" s="542"/>
      <c r="N55" s="543"/>
      <c r="O55" s="169"/>
      <c r="Q55" s="173" t="str">
        <f>IF(Roster!$L$1=0,"",Roster!$L$1)</f>
        <v>ST</v>
      </c>
      <c r="R55" s="174"/>
      <c r="S55" s="541"/>
      <c r="T55" s="542"/>
      <c r="U55" s="542"/>
      <c r="V55" s="542"/>
      <c r="W55" s="542"/>
      <c r="X55" s="542"/>
      <c r="Y55" s="542"/>
      <c r="Z55" s="542"/>
      <c r="AA55" s="542"/>
      <c r="AB55" s="542"/>
      <c r="AC55" s="543"/>
      <c r="AD55" s="169"/>
      <c r="AF55" s="173" t="str">
        <f>IF(Roster!$L$1=0,"",Roster!$L$1)</f>
        <v>ST</v>
      </c>
      <c r="AG55" s="174"/>
      <c r="AH55" s="541"/>
      <c r="AI55" s="542"/>
      <c r="AJ55" s="542"/>
      <c r="AK55" s="542"/>
      <c r="AL55" s="542"/>
      <c r="AM55" s="542"/>
      <c r="AN55" s="542"/>
      <c r="AO55" s="542"/>
      <c r="AP55" s="542"/>
      <c r="AQ55" s="542"/>
      <c r="AR55" s="543"/>
      <c r="AS55" s="169"/>
      <c r="AU55" s="173" t="str">
        <f>IF(Roster!$L$1=0,"",Roster!$L$1)</f>
        <v>ST</v>
      </c>
      <c r="AV55" s="174"/>
      <c r="AW55" s="541"/>
      <c r="AX55" s="542"/>
      <c r="AY55" s="542"/>
      <c r="AZ55" s="542"/>
      <c r="BA55" s="542"/>
      <c r="BB55" s="542"/>
      <c r="BC55" s="542"/>
      <c r="BD55" s="542"/>
      <c r="BE55" s="542"/>
      <c r="BF55" s="542"/>
      <c r="BG55" s="543"/>
      <c r="BH55" s="169"/>
    </row>
    <row r="56" spans="2:60" ht="37.5" customHeight="1" x14ac:dyDescent="0.2">
      <c r="B56" s="176" t="str">
        <f>IF(Roster!$L$9=0,"",Roster!$L$9)</f>
        <v/>
      </c>
      <c r="C56" s="174"/>
      <c r="D56" s="541"/>
      <c r="E56" s="542"/>
      <c r="F56" s="542"/>
      <c r="G56" s="542"/>
      <c r="H56" s="542"/>
      <c r="I56" s="542"/>
      <c r="J56" s="542"/>
      <c r="K56" s="542"/>
      <c r="L56" s="542"/>
      <c r="M56" s="542"/>
      <c r="N56" s="543"/>
      <c r="O56" s="169"/>
      <c r="Q56" s="176">
        <f>IF(Roster!$L$10=0,"",Roster!$L$10)</f>
        <v>3</v>
      </c>
      <c r="R56" s="174"/>
      <c r="S56" s="541"/>
      <c r="T56" s="542"/>
      <c r="U56" s="542"/>
      <c r="V56" s="542"/>
      <c r="W56" s="542"/>
      <c r="X56" s="542"/>
      <c r="Y56" s="542"/>
      <c r="Z56" s="542"/>
      <c r="AA56" s="542"/>
      <c r="AB56" s="542"/>
      <c r="AC56" s="543"/>
      <c r="AD56" s="169"/>
      <c r="AF56" s="176">
        <f>IF(Roster!$L$11=0,"",Roster!$L$11)</f>
        <v>3</v>
      </c>
      <c r="AG56" s="174"/>
      <c r="AH56" s="541"/>
      <c r="AI56" s="542"/>
      <c r="AJ56" s="542"/>
      <c r="AK56" s="542"/>
      <c r="AL56" s="542"/>
      <c r="AM56" s="542"/>
      <c r="AN56" s="542"/>
      <c r="AO56" s="542"/>
      <c r="AP56" s="542"/>
      <c r="AQ56" s="542"/>
      <c r="AR56" s="543"/>
      <c r="AS56" s="169"/>
      <c r="AU56" s="176">
        <f>IF(Roster!$L$12=0,"",Roster!$L$12)</f>
        <v>3</v>
      </c>
      <c r="AV56" s="174"/>
      <c r="AW56" s="541"/>
      <c r="AX56" s="542"/>
      <c r="AY56" s="542"/>
      <c r="AZ56" s="542"/>
      <c r="BA56" s="542"/>
      <c r="BB56" s="542"/>
      <c r="BC56" s="542"/>
      <c r="BD56" s="542"/>
      <c r="BE56" s="542"/>
      <c r="BF56" s="542"/>
      <c r="BG56" s="543"/>
      <c r="BH56" s="169"/>
    </row>
    <row r="57" spans="2:60" ht="11.25" customHeight="1" x14ac:dyDescent="0.2">
      <c r="B57" s="173" t="str">
        <f>IF(Roster!$M$1=0,"",Roster!$M$1)</f>
        <v>AG</v>
      </c>
      <c r="C57" s="174"/>
      <c r="D57" s="541"/>
      <c r="E57" s="542"/>
      <c r="F57" s="542"/>
      <c r="G57" s="542"/>
      <c r="H57" s="542"/>
      <c r="I57" s="542"/>
      <c r="J57" s="542"/>
      <c r="K57" s="542"/>
      <c r="L57" s="542"/>
      <c r="M57" s="542"/>
      <c r="N57" s="543"/>
      <c r="O57" s="169"/>
      <c r="Q57" s="173" t="str">
        <f>IF(Roster!$M$1=0,"",Roster!$M$1)</f>
        <v>AG</v>
      </c>
      <c r="R57" s="174"/>
      <c r="S57" s="541"/>
      <c r="T57" s="542"/>
      <c r="U57" s="542"/>
      <c r="V57" s="542"/>
      <c r="W57" s="542"/>
      <c r="X57" s="542"/>
      <c r="Y57" s="542"/>
      <c r="Z57" s="542"/>
      <c r="AA57" s="542"/>
      <c r="AB57" s="542"/>
      <c r="AC57" s="543"/>
      <c r="AD57" s="169"/>
      <c r="AF57" s="173" t="str">
        <f>IF(Roster!$M$1=0,"",Roster!$M$1)</f>
        <v>AG</v>
      </c>
      <c r="AG57" s="174"/>
      <c r="AH57" s="541"/>
      <c r="AI57" s="542"/>
      <c r="AJ57" s="542"/>
      <c r="AK57" s="542"/>
      <c r="AL57" s="542"/>
      <c r="AM57" s="542"/>
      <c r="AN57" s="542"/>
      <c r="AO57" s="542"/>
      <c r="AP57" s="542"/>
      <c r="AQ57" s="542"/>
      <c r="AR57" s="543"/>
      <c r="AS57" s="169"/>
      <c r="AU57" s="173" t="str">
        <f>IF(Roster!$M$1=0,"",Roster!$M$1)</f>
        <v>AG</v>
      </c>
      <c r="AV57" s="174"/>
      <c r="AW57" s="541"/>
      <c r="AX57" s="542"/>
      <c r="AY57" s="542"/>
      <c r="AZ57" s="542"/>
      <c r="BA57" s="542"/>
      <c r="BB57" s="542"/>
      <c r="BC57" s="542"/>
      <c r="BD57" s="542"/>
      <c r="BE57" s="542"/>
      <c r="BF57" s="542"/>
      <c r="BG57" s="543"/>
      <c r="BH57" s="169"/>
    </row>
    <row r="58" spans="2:60" ht="37.5" customHeight="1" x14ac:dyDescent="0.2">
      <c r="B58" s="176" t="str">
        <f>IF(Roster!$M$9=0&amp;"+","",Roster!$M$9)</f>
        <v/>
      </c>
      <c r="C58" s="174"/>
      <c r="D58" s="541"/>
      <c r="E58" s="542"/>
      <c r="F58" s="542"/>
      <c r="G58" s="542"/>
      <c r="H58" s="542"/>
      <c r="I58" s="542"/>
      <c r="J58" s="542"/>
      <c r="K58" s="542"/>
      <c r="L58" s="542"/>
      <c r="M58" s="542"/>
      <c r="N58" s="543"/>
      <c r="O58" s="169"/>
      <c r="Q58" s="176" t="str">
        <f>IF(Roster!$M$10=0&amp;"+","",Roster!$M$10)</f>
        <v>3+</v>
      </c>
      <c r="R58" s="174"/>
      <c r="S58" s="541"/>
      <c r="T58" s="542"/>
      <c r="U58" s="542"/>
      <c r="V58" s="542"/>
      <c r="W58" s="542"/>
      <c r="X58" s="542"/>
      <c r="Y58" s="542"/>
      <c r="Z58" s="542"/>
      <c r="AA58" s="542"/>
      <c r="AB58" s="542"/>
      <c r="AC58" s="543"/>
      <c r="AD58" s="169"/>
      <c r="AF58" s="176" t="str">
        <f>IF(Roster!$M$11=0&amp;"+","",Roster!$M$11)</f>
        <v>3+</v>
      </c>
      <c r="AG58" s="174"/>
      <c r="AH58" s="541"/>
      <c r="AI58" s="542"/>
      <c r="AJ58" s="542"/>
      <c r="AK58" s="542"/>
      <c r="AL58" s="542"/>
      <c r="AM58" s="542"/>
      <c r="AN58" s="542"/>
      <c r="AO58" s="542"/>
      <c r="AP58" s="542"/>
      <c r="AQ58" s="542"/>
      <c r="AR58" s="543"/>
      <c r="AS58" s="169"/>
      <c r="AU58" s="176" t="str">
        <f>IF(Roster!$M$12=0&amp;"+","",Roster!$M$12)</f>
        <v>3+</v>
      </c>
      <c r="AV58" s="174"/>
      <c r="AW58" s="541"/>
      <c r="AX58" s="542"/>
      <c r="AY58" s="542"/>
      <c r="AZ58" s="542"/>
      <c r="BA58" s="542"/>
      <c r="BB58" s="542"/>
      <c r="BC58" s="542"/>
      <c r="BD58" s="542"/>
      <c r="BE58" s="542"/>
      <c r="BF58" s="542"/>
      <c r="BG58" s="543"/>
      <c r="BH58" s="169"/>
    </row>
    <row r="59" spans="2:60" ht="11.25" customHeight="1" x14ac:dyDescent="0.2">
      <c r="B59" s="173" t="str">
        <f>IF(Roster!$N$1=0,"",Roster!$N$1)</f>
        <v>PA</v>
      </c>
      <c r="C59" s="174"/>
      <c r="D59" s="541"/>
      <c r="E59" s="542"/>
      <c r="F59" s="542"/>
      <c r="G59" s="542"/>
      <c r="H59" s="542"/>
      <c r="I59" s="542"/>
      <c r="J59" s="542"/>
      <c r="K59" s="542"/>
      <c r="L59" s="542"/>
      <c r="M59" s="542"/>
      <c r="N59" s="543"/>
      <c r="O59" s="178"/>
      <c r="Q59" s="173" t="str">
        <f>IF(Roster!$N$1=0,"",Roster!$N$1)</f>
        <v>PA</v>
      </c>
      <c r="R59" s="174"/>
      <c r="S59" s="541"/>
      <c r="T59" s="542"/>
      <c r="U59" s="542"/>
      <c r="V59" s="542"/>
      <c r="W59" s="542"/>
      <c r="X59" s="542"/>
      <c r="Y59" s="542"/>
      <c r="Z59" s="542"/>
      <c r="AA59" s="542"/>
      <c r="AB59" s="542"/>
      <c r="AC59" s="543"/>
      <c r="AD59" s="178"/>
      <c r="AF59" s="173" t="str">
        <f>IF(Roster!$N$1=0,"",Roster!$N$1)</f>
        <v>PA</v>
      </c>
      <c r="AG59" s="174"/>
      <c r="AH59" s="541"/>
      <c r="AI59" s="542"/>
      <c r="AJ59" s="542"/>
      <c r="AK59" s="542"/>
      <c r="AL59" s="542"/>
      <c r="AM59" s="542"/>
      <c r="AN59" s="542"/>
      <c r="AO59" s="542"/>
      <c r="AP59" s="542"/>
      <c r="AQ59" s="542"/>
      <c r="AR59" s="543"/>
      <c r="AS59" s="178"/>
      <c r="AU59" s="173" t="str">
        <f>IF(Roster!$N$1=0,"",Roster!$N$1)</f>
        <v>PA</v>
      </c>
      <c r="AV59" s="174"/>
      <c r="AW59" s="541"/>
      <c r="AX59" s="542"/>
      <c r="AY59" s="542"/>
      <c r="AZ59" s="542"/>
      <c r="BA59" s="542"/>
      <c r="BB59" s="542"/>
      <c r="BC59" s="542"/>
      <c r="BD59" s="542"/>
      <c r="BE59" s="542"/>
      <c r="BF59" s="542"/>
      <c r="BG59" s="543"/>
      <c r="BH59" s="178"/>
    </row>
    <row r="60" spans="2:60" ht="6" customHeight="1" x14ac:dyDescent="0.2">
      <c r="B60" s="530" t="str">
        <f>IF(Roster!$N$9=0&amp;"+","",Roster!$N$9)</f>
        <v/>
      </c>
      <c r="C60" s="174"/>
      <c r="D60" s="544"/>
      <c r="E60" s="545"/>
      <c r="F60" s="545"/>
      <c r="G60" s="545"/>
      <c r="H60" s="545"/>
      <c r="I60" s="545"/>
      <c r="J60" s="545"/>
      <c r="K60" s="545"/>
      <c r="L60" s="545"/>
      <c r="M60" s="545"/>
      <c r="N60" s="546"/>
      <c r="O60" s="180"/>
      <c r="Q60" s="530" t="str">
        <f>IF(Roster!$N$10=0&amp;"+","",Roster!$N$10)</f>
        <v>4+</v>
      </c>
      <c r="R60" s="174"/>
      <c r="S60" s="544"/>
      <c r="T60" s="545"/>
      <c r="U60" s="545"/>
      <c r="V60" s="545"/>
      <c r="W60" s="545"/>
      <c r="X60" s="545"/>
      <c r="Y60" s="545"/>
      <c r="Z60" s="545"/>
      <c r="AA60" s="545"/>
      <c r="AB60" s="545"/>
      <c r="AC60" s="546"/>
      <c r="AD60" s="180"/>
      <c r="AF60" s="530" t="str">
        <f>IF(Roster!$N$11=0&amp;"+","",Roster!$N$11)</f>
        <v>4+</v>
      </c>
      <c r="AG60" s="174"/>
      <c r="AH60" s="544"/>
      <c r="AI60" s="545"/>
      <c r="AJ60" s="545"/>
      <c r="AK60" s="545"/>
      <c r="AL60" s="545"/>
      <c r="AM60" s="545"/>
      <c r="AN60" s="545"/>
      <c r="AO60" s="545"/>
      <c r="AP60" s="545"/>
      <c r="AQ60" s="545"/>
      <c r="AR60" s="546"/>
      <c r="AS60" s="180"/>
      <c r="AU60" s="530" t="str">
        <f>IF(Roster!$N$12=0&amp;"+","",Roster!$N$12)</f>
        <v>4+</v>
      </c>
      <c r="AV60" s="174"/>
      <c r="AW60" s="544"/>
      <c r="AX60" s="545"/>
      <c r="AY60" s="545"/>
      <c r="AZ60" s="545"/>
      <c r="BA60" s="545"/>
      <c r="BB60" s="545"/>
      <c r="BC60" s="545"/>
      <c r="BD60" s="545"/>
      <c r="BE60" s="545"/>
      <c r="BF60" s="545"/>
      <c r="BG60" s="546"/>
      <c r="BH60" s="180"/>
    </row>
    <row r="61" spans="2:60" ht="4.5" customHeight="1" x14ac:dyDescent="0.2">
      <c r="B61" s="531"/>
      <c r="C61" s="172"/>
      <c r="D61" s="181"/>
      <c r="E61" s="179"/>
      <c r="F61" s="181"/>
      <c r="G61" s="179"/>
      <c r="H61" s="181"/>
      <c r="I61" s="179"/>
      <c r="J61" s="181"/>
      <c r="K61" s="179"/>
      <c r="L61" s="181"/>
      <c r="M61" s="179"/>
      <c r="N61" s="181"/>
      <c r="O61" s="180"/>
      <c r="Q61" s="531"/>
      <c r="R61" s="172"/>
      <c r="S61" s="181"/>
      <c r="T61" s="179"/>
      <c r="U61" s="181"/>
      <c r="V61" s="179"/>
      <c r="W61" s="181"/>
      <c r="X61" s="179"/>
      <c r="Y61" s="181"/>
      <c r="Z61" s="179"/>
      <c r="AA61" s="181"/>
      <c r="AB61" s="179"/>
      <c r="AC61" s="181"/>
      <c r="AD61" s="180"/>
      <c r="AF61" s="531"/>
      <c r="AG61" s="172"/>
      <c r="AH61" s="181"/>
      <c r="AI61" s="179"/>
      <c r="AJ61" s="181"/>
      <c r="AK61" s="179"/>
      <c r="AL61" s="181"/>
      <c r="AM61" s="179"/>
      <c r="AN61" s="181"/>
      <c r="AO61" s="179"/>
      <c r="AP61" s="181"/>
      <c r="AQ61" s="179"/>
      <c r="AR61" s="181"/>
      <c r="AS61" s="180"/>
      <c r="AU61" s="531"/>
      <c r="AV61" s="172"/>
      <c r="AW61" s="181"/>
      <c r="AX61" s="179"/>
      <c r="AY61" s="181"/>
      <c r="AZ61" s="179"/>
      <c r="BA61" s="181"/>
      <c r="BB61" s="179"/>
      <c r="BC61" s="181"/>
      <c r="BD61" s="179"/>
      <c r="BE61" s="181"/>
      <c r="BF61" s="179"/>
      <c r="BG61" s="181"/>
      <c r="BH61" s="180"/>
    </row>
    <row r="62" spans="2:60" ht="11.25" customHeight="1" x14ac:dyDescent="0.2">
      <c r="B62" s="531"/>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1"/>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1"/>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1"/>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31"/>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31"/>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31"/>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31"/>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336"/>
      <c r="C64" s="175"/>
      <c r="D64" s="208"/>
      <c r="E64" s="207"/>
      <c r="F64" s="208"/>
      <c r="G64" s="207"/>
      <c r="H64" s="208"/>
      <c r="I64" s="207"/>
      <c r="J64" s="208"/>
      <c r="K64" s="207"/>
      <c r="L64" s="208"/>
      <c r="M64" s="207"/>
      <c r="N64" s="208"/>
      <c r="O64" s="180"/>
      <c r="Q64" s="336"/>
      <c r="R64" s="175"/>
      <c r="S64" s="208"/>
      <c r="T64" s="207"/>
      <c r="U64" s="208"/>
      <c r="V64" s="207"/>
      <c r="W64" s="208"/>
      <c r="X64" s="207"/>
      <c r="Y64" s="208"/>
      <c r="Z64" s="207"/>
      <c r="AA64" s="208"/>
      <c r="AB64" s="207"/>
      <c r="AC64" s="208"/>
      <c r="AD64" s="180"/>
      <c r="AF64" s="336"/>
      <c r="AG64" s="175"/>
      <c r="AH64" s="208"/>
      <c r="AI64" s="207"/>
      <c r="AJ64" s="208"/>
      <c r="AK64" s="207"/>
      <c r="AL64" s="208"/>
      <c r="AM64" s="207"/>
      <c r="AN64" s="208"/>
      <c r="AO64" s="207"/>
      <c r="AP64" s="208"/>
      <c r="AQ64" s="207"/>
      <c r="AR64" s="208"/>
      <c r="AS64" s="180"/>
      <c r="AU64" s="336"/>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30" t="str">
        <f>IF(Roster!$O$9=0&amp;"+","",Roster!$O$9)</f>
        <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30" t="str">
        <f>IF(Roster!$O$10=0&amp;"+","",Roster!$O$10)</f>
        <v>8+</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30" t="str">
        <f>IF(Roster!$O$11=0&amp;"+","",Roster!$O$11)</f>
        <v>8+</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30" t="str">
        <f>IF(Roster!$O$12=0&amp;"+","",Roster!$O$12)</f>
        <v>8+</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31"/>
      <c r="C67" s="175"/>
      <c r="D67" s="207"/>
      <c r="E67" s="207"/>
      <c r="F67" s="207"/>
      <c r="G67" s="207"/>
      <c r="H67" s="207"/>
      <c r="I67" s="207"/>
      <c r="J67" s="207"/>
      <c r="K67" s="207"/>
      <c r="L67" s="207"/>
      <c r="M67" s="207"/>
      <c r="N67" s="210"/>
      <c r="O67" s="182"/>
      <c r="Q67" s="531"/>
      <c r="R67" s="175"/>
      <c r="S67" s="207"/>
      <c r="T67" s="207"/>
      <c r="U67" s="207"/>
      <c r="V67" s="207"/>
      <c r="W67" s="207"/>
      <c r="X67" s="207"/>
      <c r="Y67" s="207"/>
      <c r="Z67" s="207"/>
      <c r="AA67" s="207"/>
      <c r="AB67" s="207"/>
      <c r="AC67" s="210"/>
      <c r="AD67" s="182"/>
      <c r="AF67" s="531"/>
      <c r="AG67" s="175"/>
      <c r="AH67" s="207"/>
      <c r="AI67" s="207"/>
      <c r="AJ67" s="207"/>
      <c r="AK67" s="207"/>
      <c r="AL67" s="207"/>
      <c r="AM67" s="207"/>
      <c r="AN67" s="207"/>
      <c r="AO67" s="207"/>
      <c r="AP67" s="207"/>
      <c r="AQ67" s="207"/>
      <c r="AR67" s="210"/>
      <c r="AS67" s="182"/>
      <c r="AU67" s="531"/>
      <c r="AV67" s="175"/>
      <c r="AW67" s="207"/>
      <c r="AX67" s="207"/>
      <c r="AY67" s="207"/>
      <c r="AZ67" s="207"/>
      <c r="BA67" s="207"/>
      <c r="BB67" s="207"/>
      <c r="BC67" s="207"/>
      <c r="BD67" s="207"/>
      <c r="BE67" s="207"/>
      <c r="BF67" s="207"/>
      <c r="BG67" s="210"/>
      <c r="BH67" s="182"/>
    </row>
    <row r="68" spans="2:60" ht="11.25" customHeight="1" x14ac:dyDescent="0.2">
      <c r="B68" s="531"/>
      <c r="C68" s="175"/>
      <c r="D68" s="562" t="str">
        <f>IF(Roster!$K$25="Italiano","ABILITÀ &amp; TRATTI",(IF(Roster!$K$25="Español","HABILIDADES Y RASGOS","SKILLS &amp; TRAITS")))</f>
        <v>SKILLS &amp; TRAITS</v>
      </c>
      <c r="E68" s="563"/>
      <c r="F68" s="563"/>
      <c r="G68" s="563"/>
      <c r="H68" s="563"/>
      <c r="I68" s="563"/>
      <c r="J68" s="563"/>
      <c r="K68" s="563"/>
      <c r="L68" s="563"/>
      <c r="M68" s="563"/>
      <c r="N68" s="564"/>
      <c r="O68" s="182"/>
      <c r="Q68" s="531"/>
      <c r="R68" s="175"/>
      <c r="S68" s="562" t="str">
        <f>IF(Roster!$K$25="Italiano","ABILITÀ &amp; TRATTI",(IF(Roster!$K$25="Español","HABILIDADES Y RASGOS","SKILLS &amp; TRAITS")))</f>
        <v>SKILLS &amp; TRAITS</v>
      </c>
      <c r="T68" s="563"/>
      <c r="U68" s="563"/>
      <c r="V68" s="563"/>
      <c r="W68" s="563"/>
      <c r="X68" s="563"/>
      <c r="Y68" s="563"/>
      <c r="Z68" s="563"/>
      <c r="AA68" s="563"/>
      <c r="AB68" s="563"/>
      <c r="AC68" s="564"/>
      <c r="AD68" s="182"/>
      <c r="AF68" s="531"/>
      <c r="AG68" s="175"/>
      <c r="AH68" s="562" t="str">
        <f>IF(Roster!$K$25="Italiano","ABILITÀ &amp; TRATTI",(IF(Roster!$K$25="Español","HABILIDADES Y RASGOS","SKILLS &amp; TRAITS")))</f>
        <v>SKILLS &amp; TRAITS</v>
      </c>
      <c r="AI68" s="563"/>
      <c r="AJ68" s="563"/>
      <c r="AK68" s="563"/>
      <c r="AL68" s="563"/>
      <c r="AM68" s="563"/>
      <c r="AN68" s="563"/>
      <c r="AO68" s="563"/>
      <c r="AP68" s="563"/>
      <c r="AQ68" s="563"/>
      <c r="AR68" s="564"/>
      <c r="AS68" s="182"/>
      <c r="AU68" s="531"/>
      <c r="AV68" s="175"/>
      <c r="AW68" s="562" t="str">
        <f>IF(Roster!$K$25="Italiano","ABILITÀ &amp; TRATTI",(IF(Roster!$K$25="Español","HABILIDADES Y RASGOS","SKILLS &amp; TRAITS")))</f>
        <v>SKILLS &amp; TRAITS</v>
      </c>
      <c r="AX68" s="563"/>
      <c r="AY68" s="563"/>
      <c r="AZ68" s="563"/>
      <c r="BA68" s="563"/>
      <c r="BB68" s="563"/>
      <c r="BC68" s="563"/>
      <c r="BD68" s="563"/>
      <c r="BE68" s="563"/>
      <c r="BF68" s="563"/>
      <c r="BG68" s="564"/>
      <c r="BH68" s="182"/>
    </row>
    <row r="69" spans="2:60" ht="6.75" customHeight="1" x14ac:dyDescent="0.2">
      <c r="B69" s="336"/>
      <c r="C69" s="175"/>
      <c r="D69" s="565" t="str">
        <f>IF(Roster!$P$9=0&amp;AQ50,"",Roster!$P$9)</f>
        <v/>
      </c>
      <c r="E69" s="490"/>
      <c r="F69" s="490"/>
      <c r="G69" s="490"/>
      <c r="H69" s="490"/>
      <c r="I69" s="490"/>
      <c r="J69" s="490"/>
      <c r="K69" s="490"/>
      <c r="L69" s="490"/>
      <c r="M69" s="490"/>
      <c r="N69" s="566"/>
      <c r="O69" s="182"/>
      <c r="Q69" s="336"/>
      <c r="R69" s="175"/>
      <c r="S69" s="565" t="str">
        <f>IF(Roster!$P$10=0&amp;BF50,"",Roster!$P$10)</f>
        <v xml:space="preserve"> </v>
      </c>
      <c r="T69" s="490"/>
      <c r="U69" s="490"/>
      <c r="V69" s="490"/>
      <c r="W69" s="490"/>
      <c r="X69" s="490"/>
      <c r="Y69" s="490"/>
      <c r="Z69" s="490"/>
      <c r="AA69" s="490"/>
      <c r="AB69" s="490"/>
      <c r="AC69" s="566"/>
      <c r="AD69" s="182"/>
      <c r="AF69" s="336"/>
      <c r="AG69" s="175"/>
      <c r="AH69" s="565" t="str">
        <f>IF(Roster!$P$11=0&amp;BU50,"",Roster!$P$11)</f>
        <v xml:space="preserve"> </v>
      </c>
      <c r="AI69" s="490"/>
      <c r="AJ69" s="490"/>
      <c r="AK69" s="490"/>
      <c r="AL69" s="490"/>
      <c r="AM69" s="490"/>
      <c r="AN69" s="490"/>
      <c r="AO69" s="490"/>
      <c r="AP69" s="490"/>
      <c r="AQ69" s="490"/>
      <c r="AR69" s="566"/>
      <c r="AS69" s="182"/>
      <c r="AU69" s="336"/>
      <c r="AV69" s="175"/>
      <c r="AW69" s="565" t="str">
        <f>IF(Roster!$P$12=0&amp;CJ50,"",Roster!$P$12)</f>
        <v xml:space="preserve"> </v>
      </c>
      <c r="AX69" s="490"/>
      <c r="AY69" s="490"/>
      <c r="AZ69" s="490"/>
      <c r="BA69" s="490"/>
      <c r="BB69" s="490"/>
      <c r="BC69" s="490"/>
      <c r="BD69" s="490"/>
      <c r="BE69" s="490"/>
      <c r="BF69" s="490"/>
      <c r="BG69" s="566"/>
      <c r="BH69" s="182"/>
    </row>
    <row r="70" spans="2:60" ht="11.25" customHeight="1" x14ac:dyDescent="0.2">
      <c r="B70" s="173" t="str">
        <f>IF(Roster!$AO$1=0,"",Roster!$AO$1)</f>
        <v>COST</v>
      </c>
      <c r="C70" s="174"/>
      <c r="D70" s="567"/>
      <c r="E70" s="568"/>
      <c r="F70" s="568"/>
      <c r="G70" s="568"/>
      <c r="H70" s="568"/>
      <c r="I70" s="568"/>
      <c r="J70" s="568"/>
      <c r="K70" s="568"/>
      <c r="L70" s="568"/>
      <c r="M70" s="568"/>
      <c r="N70" s="566"/>
      <c r="O70" s="185"/>
      <c r="Q70" s="173" t="str">
        <f>IF(Roster!$AO$1=0,"",Roster!$AO$1)</f>
        <v>COST</v>
      </c>
      <c r="R70" s="174"/>
      <c r="S70" s="567"/>
      <c r="T70" s="568"/>
      <c r="U70" s="568"/>
      <c r="V70" s="568"/>
      <c r="W70" s="568"/>
      <c r="X70" s="568"/>
      <c r="Y70" s="568"/>
      <c r="Z70" s="568"/>
      <c r="AA70" s="568"/>
      <c r="AB70" s="568"/>
      <c r="AC70" s="566"/>
      <c r="AD70" s="185"/>
      <c r="AF70" s="173" t="str">
        <f>IF(Roster!$AO$1=0,"",Roster!$AO$1)</f>
        <v>COST</v>
      </c>
      <c r="AG70" s="174"/>
      <c r="AH70" s="567"/>
      <c r="AI70" s="568"/>
      <c r="AJ70" s="568"/>
      <c r="AK70" s="568"/>
      <c r="AL70" s="568"/>
      <c r="AM70" s="568"/>
      <c r="AN70" s="568"/>
      <c r="AO70" s="568"/>
      <c r="AP70" s="568"/>
      <c r="AQ70" s="568"/>
      <c r="AR70" s="566"/>
      <c r="AS70" s="185"/>
      <c r="AU70" s="173" t="str">
        <f>IF(Roster!$AO$1=0,"",Roster!$AO$1)</f>
        <v>COST</v>
      </c>
      <c r="AV70" s="174"/>
      <c r="AW70" s="567"/>
      <c r="AX70" s="568"/>
      <c r="AY70" s="568"/>
      <c r="AZ70" s="568"/>
      <c r="BA70" s="568"/>
      <c r="BB70" s="568"/>
      <c r="BC70" s="568"/>
      <c r="BD70" s="568"/>
      <c r="BE70" s="568"/>
      <c r="BF70" s="568"/>
      <c r="BG70" s="566"/>
      <c r="BH70" s="185"/>
    </row>
    <row r="71" spans="2:60" ht="34.5" customHeight="1" x14ac:dyDescent="0.2">
      <c r="B71" s="187" t="str">
        <f>IF(Roster!$AO$9=0,"",Roster!$AO$9)</f>
        <v/>
      </c>
      <c r="C71" s="188"/>
      <c r="D71" s="569"/>
      <c r="E71" s="570"/>
      <c r="F71" s="570"/>
      <c r="G71" s="570"/>
      <c r="H71" s="570"/>
      <c r="I71" s="570"/>
      <c r="J71" s="570"/>
      <c r="K71" s="570"/>
      <c r="L71" s="570"/>
      <c r="M71" s="570"/>
      <c r="N71" s="571"/>
      <c r="O71" s="185"/>
      <c r="Q71" s="187">
        <f>IF(Roster!$AO$10=0,"",Roster!$AO$10)</f>
        <v>40000</v>
      </c>
      <c r="R71" s="188"/>
      <c r="S71" s="569"/>
      <c r="T71" s="570"/>
      <c r="U71" s="570"/>
      <c r="V71" s="570"/>
      <c r="W71" s="570"/>
      <c r="X71" s="570"/>
      <c r="Y71" s="570"/>
      <c r="Z71" s="570"/>
      <c r="AA71" s="570"/>
      <c r="AB71" s="570"/>
      <c r="AC71" s="571"/>
      <c r="AD71" s="185"/>
      <c r="AF71" s="187">
        <f>IF(Roster!$AO$11=0,"",Roster!$AO$11)</f>
        <v>40000</v>
      </c>
      <c r="AG71" s="188"/>
      <c r="AH71" s="569"/>
      <c r="AI71" s="570"/>
      <c r="AJ71" s="570"/>
      <c r="AK71" s="570"/>
      <c r="AL71" s="570"/>
      <c r="AM71" s="570"/>
      <c r="AN71" s="570"/>
      <c r="AO71" s="570"/>
      <c r="AP71" s="570"/>
      <c r="AQ71" s="570"/>
      <c r="AR71" s="571"/>
      <c r="AS71" s="185"/>
      <c r="AU71" s="187">
        <f>IF(Roster!$AO$12=0,"",Roster!$AO$12)</f>
        <v>40000</v>
      </c>
      <c r="AV71" s="188"/>
      <c r="AW71" s="569"/>
      <c r="AX71" s="570"/>
      <c r="AY71" s="570"/>
      <c r="AZ71" s="570"/>
      <c r="BA71" s="570"/>
      <c r="BB71" s="570"/>
      <c r="BC71" s="570"/>
      <c r="BD71" s="570"/>
      <c r="BE71" s="570"/>
      <c r="BF71" s="570"/>
      <c r="BG71" s="571"/>
      <c r="BH71" s="185"/>
    </row>
    <row r="72" spans="2:60" ht="4.5" customHeight="1" x14ac:dyDescent="0.2">
      <c r="B72" s="572"/>
      <c r="C72" s="333"/>
      <c r="D72" s="333"/>
      <c r="E72" s="333"/>
      <c r="F72" s="333"/>
      <c r="G72" s="333"/>
      <c r="H72" s="333"/>
      <c r="I72" s="333"/>
      <c r="J72" s="333"/>
      <c r="K72" s="333"/>
      <c r="L72" s="333"/>
      <c r="M72" s="333"/>
      <c r="N72" s="335"/>
      <c r="O72" s="189"/>
      <c r="Q72" s="572"/>
      <c r="R72" s="333"/>
      <c r="S72" s="333"/>
      <c r="T72" s="333"/>
      <c r="U72" s="333"/>
      <c r="V72" s="333"/>
      <c r="W72" s="333"/>
      <c r="X72" s="333"/>
      <c r="Y72" s="333"/>
      <c r="Z72" s="333"/>
      <c r="AA72" s="333"/>
      <c r="AB72" s="333"/>
      <c r="AC72" s="335"/>
      <c r="AD72" s="189"/>
      <c r="AF72" s="572"/>
      <c r="AG72" s="333"/>
      <c r="AH72" s="333"/>
      <c r="AI72" s="333"/>
      <c r="AJ72" s="333"/>
      <c r="AK72" s="333"/>
      <c r="AL72" s="333"/>
      <c r="AM72" s="333"/>
      <c r="AN72" s="333"/>
      <c r="AO72" s="333"/>
      <c r="AP72" s="333"/>
      <c r="AQ72" s="333"/>
      <c r="AR72" s="335"/>
      <c r="AS72" s="189"/>
      <c r="AU72" s="572"/>
      <c r="AV72" s="333"/>
      <c r="AW72" s="333"/>
      <c r="AX72" s="333"/>
      <c r="AY72" s="333"/>
      <c r="AZ72" s="333"/>
      <c r="BA72" s="333"/>
      <c r="BB72" s="333"/>
      <c r="BC72" s="333"/>
      <c r="BD72" s="333"/>
      <c r="BE72" s="333"/>
      <c r="BF72" s="333"/>
      <c r="BG72" s="335"/>
      <c r="BH72" s="189"/>
    </row>
    <row r="73" spans="2:60" ht="11.25" customHeight="1" x14ac:dyDescent="0.2"/>
    <row r="74" spans="2:60" ht="4.5" customHeight="1" x14ac:dyDescent="0.2">
      <c r="B74" s="514" t="str">
        <f>IF(Roster!$A$13=0,"","#"&amp;Roster!$A$13)</f>
        <v>#12</v>
      </c>
      <c r="C74" s="167"/>
      <c r="D74" s="167"/>
      <c r="E74" s="167"/>
      <c r="F74" s="167"/>
      <c r="G74" s="167"/>
      <c r="H74" s="167"/>
      <c r="I74" s="167"/>
      <c r="J74" s="167"/>
      <c r="K74" s="167"/>
      <c r="L74" s="167"/>
      <c r="M74" s="167"/>
      <c r="N74" s="167"/>
      <c r="O74" s="168"/>
      <c r="Q74" s="514" t="str">
        <f>IF(Roster!$A$14=0,"","#"&amp;Roster!$A$14)</f>
        <v>#13</v>
      </c>
      <c r="R74" s="167"/>
      <c r="S74" s="167"/>
      <c r="T74" s="167"/>
      <c r="U74" s="167"/>
      <c r="V74" s="167"/>
      <c r="W74" s="167"/>
      <c r="X74" s="167"/>
      <c r="Y74" s="167"/>
      <c r="Z74" s="167"/>
      <c r="AA74" s="167"/>
      <c r="AB74" s="167"/>
      <c r="AC74" s="167"/>
      <c r="AD74" s="168"/>
      <c r="AF74" s="514" t="str">
        <f>IF(Roster!$A$15=0,"","#"&amp;Roster!$A$15)</f>
        <v>#14</v>
      </c>
      <c r="AG74" s="167"/>
      <c r="AH74" s="167"/>
      <c r="AI74" s="167"/>
      <c r="AJ74" s="167"/>
      <c r="AK74" s="167"/>
      <c r="AL74" s="167"/>
      <c r="AM74" s="167"/>
      <c r="AN74" s="167"/>
      <c r="AO74" s="167"/>
      <c r="AP74" s="167"/>
      <c r="AQ74" s="167"/>
      <c r="AR74" s="167"/>
      <c r="AS74" s="168"/>
      <c r="AU74" s="514" t="str">
        <f>IF(Roster!$A$16=0,"","#"&amp;Roster!$A$16)</f>
        <v>#15</v>
      </c>
      <c r="AV74" s="167"/>
      <c r="AW74" s="167"/>
      <c r="AX74" s="167"/>
      <c r="AY74" s="167"/>
      <c r="AZ74" s="167"/>
      <c r="BA74" s="167"/>
      <c r="BB74" s="167"/>
      <c r="BC74" s="167"/>
      <c r="BD74" s="167"/>
      <c r="BE74" s="167"/>
      <c r="BF74" s="167"/>
      <c r="BG74" s="167"/>
      <c r="BH74" s="168"/>
    </row>
    <row r="75" spans="2:60" ht="15" customHeight="1" x14ac:dyDescent="0.25">
      <c r="B75" s="515"/>
      <c r="C75" s="537" t="str">
        <f>IF(Roster!$B$13=0,"",Roster!$B$13)</f>
        <v>Rutt</v>
      </c>
      <c r="D75" s="304"/>
      <c r="E75" s="304"/>
      <c r="F75" s="304"/>
      <c r="G75" s="304"/>
      <c r="H75" s="304"/>
      <c r="I75" s="304"/>
      <c r="J75" s="304"/>
      <c r="K75" s="304"/>
      <c r="L75" s="304"/>
      <c r="M75" s="304"/>
      <c r="N75" s="305"/>
      <c r="O75" s="169"/>
      <c r="Q75" s="515"/>
      <c r="R75" s="537" t="str">
        <f>IF(Roster!$B$14=0,"",Roster!$B$14)</f>
        <v>Cornutone</v>
      </c>
      <c r="S75" s="304"/>
      <c r="T75" s="304"/>
      <c r="U75" s="304"/>
      <c r="V75" s="304"/>
      <c r="W75" s="304"/>
      <c r="X75" s="304"/>
      <c r="Y75" s="304"/>
      <c r="Z75" s="304"/>
      <c r="AA75" s="304"/>
      <c r="AB75" s="304"/>
      <c r="AC75" s="305"/>
      <c r="AD75" s="169"/>
      <c r="AF75" s="515"/>
      <c r="AG75" s="537" t="str">
        <f>IF(Roster!$B$15=0,"",Roster!$B$15)</f>
        <v/>
      </c>
      <c r="AH75" s="304"/>
      <c r="AI75" s="304"/>
      <c r="AJ75" s="304"/>
      <c r="AK75" s="304"/>
      <c r="AL75" s="304"/>
      <c r="AM75" s="304"/>
      <c r="AN75" s="304"/>
      <c r="AO75" s="304"/>
      <c r="AP75" s="304"/>
      <c r="AQ75" s="304"/>
      <c r="AR75" s="305"/>
      <c r="AS75" s="169"/>
      <c r="AU75" s="515"/>
      <c r="AV75" s="537" t="str">
        <f>IF(Roster!$B$16=0,"",Roster!$B$16)</f>
        <v/>
      </c>
      <c r="AW75" s="304"/>
      <c r="AX75" s="304"/>
      <c r="AY75" s="304"/>
      <c r="AZ75" s="304"/>
      <c r="BA75" s="304"/>
      <c r="BB75" s="304"/>
      <c r="BC75" s="304"/>
      <c r="BD75" s="304"/>
      <c r="BE75" s="304"/>
      <c r="BF75" s="304"/>
      <c r="BG75" s="305"/>
      <c r="BH75" s="169"/>
    </row>
    <row r="76" spans="2:60" ht="11.25" customHeight="1" x14ac:dyDescent="0.2">
      <c r="B76" s="516"/>
      <c r="C76" s="517" t="str">
        <f>IF(Roster!$D$13=0,"",Roster!$D$13)</f>
        <v>Hobgoblin Lineman</v>
      </c>
      <c r="D76" s="304"/>
      <c r="E76" s="304"/>
      <c r="F76" s="304"/>
      <c r="G76" s="304"/>
      <c r="H76" s="304"/>
      <c r="I76" s="304"/>
      <c r="J76" s="304"/>
      <c r="K76" s="304"/>
      <c r="L76" s="304"/>
      <c r="M76" s="304"/>
      <c r="N76" s="305"/>
      <c r="O76" s="170"/>
      <c r="Q76" s="516"/>
      <c r="R76" s="517" t="str">
        <f>IF(Roster!$D$14=0,"",Roster!$D$14)</f>
        <v>Minotaur</v>
      </c>
      <c r="S76" s="304"/>
      <c r="T76" s="304"/>
      <c r="U76" s="304"/>
      <c r="V76" s="304"/>
      <c r="W76" s="304"/>
      <c r="X76" s="304"/>
      <c r="Y76" s="304"/>
      <c r="Z76" s="304"/>
      <c r="AA76" s="304"/>
      <c r="AB76" s="304"/>
      <c r="AC76" s="305"/>
      <c r="AD76" s="170"/>
      <c r="AF76" s="516"/>
      <c r="AG76" s="517" t="str">
        <f>IF(Roster!$D$15=0,"",Roster!$D$15)</f>
        <v/>
      </c>
      <c r="AH76" s="304"/>
      <c r="AI76" s="304"/>
      <c r="AJ76" s="304"/>
      <c r="AK76" s="304"/>
      <c r="AL76" s="304"/>
      <c r="AM76" s="304"/>
      <c r="AN76" s="304"/>
      <c r="AO76" s="304"/>
      <c r="AP76" s="304"/>
      <c r="AQ76" s="304"/>
      <c r="AR76" s="305"/>
      <c r="AS76" s="170"/>
      <c r="AU76" s="516"/>
      <c r="AV76" s="517" t="str">
        <f>IF(Roster!$D$16=0,"",Roster!$D$16)</f>
        <v/>
      </c>
      <c r="AW76" s="304"/>
      <c r="AX76" s="304"/>
      <c r="AY76" s="304"/>
      <c r="AZ76" s="304"/>
      <c r="BA76" s="304"/>
      <c r="BB76" s="304"/>
      <c r="BC76" s="304"/>
      <c r="BD76" s="304"/>
      <c r="BE76" s="304"/>
      <c r="BF76" s="304"/>
      <c r="BG76" s="305"/>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38"/>
      <c r="E78" s="539"/>
      <c r="F78" s="539"/>
      <c r="G78" s="539"/>
      <c r="H78" s="539"/>
      <c r="I78" s="539"/>
      <c r="J78" s="539"/>
      <c r="K78" s="539"/>
      <c r="L78" s="539"/>
      <c r="M78" s="539"/>
      <c r="N78" s="540"/>
      <c r="O78" s="169"/>
      <c r="Q78" s="176">
        <f>IF(Roster!$K$14=0,"",Roster!$K$14)</f>
        <v>5</v>
      </c>
      <c r="R78" s="174"/>
      <c r="S78" s="538"/>
      <c r="T78" s="539"/>
      <c r="U78" s="539"/>
      <c r="V78" s="539"/>
      <c r="W78" s="539"/>
      <c r="X78" s="539"/>
      <c r="Y78" s="539"/>
      <c r="Z78" s="539"/>
      <c r="AA78" s="539"/>
      <c r="AB78" s="539"/>
      <c r="AC78" s="540"/>
      <c r="AD78" s="169"/>
      <c r="AF78" s="176" t="str">
        <f>IF(Roster!$K$15=0,"",Roster!$K$15)</f>
        <v/>
      </c>
      <c r="AG78" s="174"/>
      <c r="AH78" s="538"/>
      <c r="AI78" s="539"/>
      <c r="AJ78" s="539"/>
      <c r="AK78" s="539"/>
      <c r="AL78" s="539"/>
      <c r="AM78" s="539"/>
      <c r="AN78" s="539"/>
      <c r="AO78" s="539"/>
      <c r="AP78" s="539"/>
      <c r="AQ78" s="539"/>
      <c r="AR78" s="540"/>
      <c r="AS78" s="169"/>
      <c r="AU78" s="176" t="str">
        <f>IF(Roster!$K$16=0,"",Roster!$K$16)</f>
        <v/>
      </c>
      <c r="AV78" s="174"/>
      <c r="AW78" s="538"/>
      <c r="AX78" s="539"/>
      <c r="AY78" s="539"/>
      <c r="AZ78" s="539"/>
      <c r="BA78" s="539"/>
      <c r="BB78" s="539"/>
      <c r="BC78" s="539"/>
      <c r="BD78" s="539"/>
      <c r="BE78" s="539"/>
      <c r="BF78" s="539"/>
      <c r="BG78" s="540"/>
      <c r="BH78" s="169"/>
    </row>
    <row r="79" spans="2:60" ht="11.25" customHeight="1" x14ac:dyDescent="0.2">
      <c r="B79" s="173" t="str">
        <f>IF(Roster!$L$1=0,"",Roster!$L$1)</f>
        <v>ST</v>
      </c>
      <c r="C79" s="174"/>
      <c r="D79" s="541"/>
      <c r="E79" s="542"/>
      <c r="F79" s="542"/>
      <c r="G79" s="542"/>
      <c r="H79" s="542"/>
      <c r="I79" s="542"/>
      <c r="J79" s="542"/>
      <c r="K79" s="542"/>
      <c r="L79" s="542"/>
      <c r="M79" s="542"/>
      <c r="N79" s="543"/>
      <c r="O79" s="169"/>
      <c r="Q79" s="173" t="str">
        <f>IF(Roster!$L$1=0,"",Roster!$L$1)</f>
        <v>ST</v>
      </c>
      <c r="R79" s="174"/>
      <c r="S79" s="541"/>
      <c r="T79" s="542"/>
      <c r="U79" s="542"/>
      <c r="V79" s="542"/>
      <c r="W79" s="542"/>
      <c r="X79" s="542"/>
      <c r="Y79" s="542"/>
      <c r="Z79" s="542"/>
      <c r="AA79" s="542"/>
      <c r="AB79" s="542"/>
      <c r="AC79" s="543"/>
      <c r="AD79" s="169"/>
      <c r="AF79" s="173" t="str">
        <f>IF(Roster!$L$1=0,"",Roster!$L$1)</f>
        <v>ST</v>
      </c>
      <c r="AG79" s="174"/>
      <c r="AH79" s="541"/>
      <c r="AI79" s="542"/>
      <c r="AJ79" s="542"/>
      <c r="AK79" s="542"/>
      <c r="AL79" s="542"/>
      <c r="AM79" s="542"/>
      <c r="AN79" s="542"/>
      <c r="AO79" s="542"/>
      <c r="AP79" s="542"/>
      <c r="AQ79" s="542"/>
      <c r="AR79" s="543"/>
      <c r="AS79" s="169"/>
      <c r="AU79" s="173" t="str">
        <f>IF(Roster!$L$1=0,"",Roster!$L$1)</f>
        <v>ST</v>
      </c>
      <c r="AV79" s="174"/>
      <c r="AW79" s="541"/>
      <c r="AX79" s="542"/>
      <c r="AY79" s="542"/>
      <c r="AZ79" s="542"/>
      <c r="BA79" s="542"/>
      <c r="BB79" s="542"/>
      <c r="BC79" s="542"/>
      <c r="BD79" s="542"/>
      <c r="BE79" s="542"/>
      <c r="BF79" s="542"/>
      <c r="BG79" s="543"/>
      <c r="BH79" s="169"/>
    </row>
    <row r="80" spans="2:60" ht="37.5" customHeight="1" x14ac:dyDescent="0.2">
      <c r="B80" s="176">
        <f>IF(Roster!$L$13=0,"",Roster!$L$13)</f>
        <v>3</v>
      </c>
      <c r="C80" s="174"/>
      <c r="D80" s="541"/>
      <c r="E80" s="542"/>
      <c r="F80" s="542"/>
      <c r="G80" s="542"/>
      <c r="H80" s="542"/>
      <c r="I80" s="542"/>
      <c r="J80" s="542"/>
      <c r="K80" s="542"/>
      <c r="L80" s="542"/>
      <c r="M80" s="542"/>
      <c r="N80" s="543"/>
      <c r="O80" s="169"/>
      <c r="Q80" s="176">
        <f>IF(Roster!$L$14=0,"",Roster!$L$14)</f>
        <v>5</v>
      </c>
      <c r="R80" s="174"/>
      <c r="S80" s="541"/>
      <c r="T80" s="542"/>
      <c r="U80" s="542"/>
      <c r="V80" s="542"/>
      <c r="W80" s="542"/>
      <c r="X80" s="542"/>
      <c r="Y80" s="542"/>
      <c r="Z80" s="542"/>
      <c r="AA80" s="542"/>
      <c r="AB80" s="542"/>
      <c r="AC80" s="543"/>
      <c r="AD80" s="169"/>
      <c r="AF80" s="176" t="str">
        <f>IF(Roster!$L$15=0,"",Roster!$L$15)</f>
        <v/>
      </c>
      <c r="AG80" s="174"/>
      <c r="AH80" s="541"/>
      <c r="AI80" s="542"/>
      <c r="AJ80" s="542"/>
      <c r="AK80" s="542"/>
      <c r="AL80" s="542"/>
      <c r="AM80" s="542"/>
      <c r="AN80" s="542"/>
      <c r="AO80" s="542"/>
      <c r="AP80" s="542"/>
      <c r="AQ80" s="542"/>
      <c r="AR80" s="543"/>
      <c r="AS80" s="169"/>
      <c r="AU80" s="176" t="str">
        <f>IF(Roster!$L$16=0,"",Roster!$L$16)</f>
        <v/>
      </c>
      <c r="AV80" s="174"/>
      <c r="AW80" s="541"/>
      <c r="AX80" s="542"/>
      <c r="AY80" s="542"/>
      <c r="AZ80" s="542"/>
      <c r="BA80" s="542"/>
      <c r="BB80" s="542"/>
      <c r="BC80" s="542"/>
      <c r="BD80" s="542"/>
      <c r="BE80" s="542"/>
      <c r="BF80" s="542"/>
      <c r="BG80" s="543"/>
      <c r="BH80" s="169"/>
    </row>
    <row r="81" spans="2:60" ht="11.25" customHeight="1" x14ac:dyDescent="0.2">
      <c r="B81" s="173" t="str">
        <f>IF(Roster!$M$1=0,"",Roster!$M$1)</f>
        <v>AG</v>
      </c>
      <c r="C81" s="174"/>
      <c r="D81" s="541"/>
      <c r="E81" s="542"/>
      <c r="F81" s="542"/>
      <c r="G81" s="542"/>
      <c r="H81" s="542"/>
      <c r="I81" s="542"/>
      <c r="J81" s="542"/>
      <c r="K81" s="542"/>
      <c r="L81" s="542"/>
      <c r="M81" s="542"/>
      <c r="N81" s="543"/>
      <c r="O81" s="169"/>
      <c r="Q81" s="173" t="str">
        <f>IF(Roster!$M$1=0,"",Roster!$M$1)</f>
        <v>AG</v>
      </c>
      <c r="R81" s="174"/>
      <c r="S81" s="541"/>
      <c r="T81" s="542"/>
      <c r="U81" s="542"/>
      <c r="V81" s="542"/>
      <c r="W81" s="542"/>
      <c r="X81" s="542"/>
      <c r="Y81" s="542"/>
      <c r="Z81" s="542"/>
      <c r="AA81" s="542"/>
      <c r="AB81" s="542"/>
      <c r="AC81" s="543"/>
      <c r="AD81" s="169"/>
      <c r="AF81" s="173" t="str">
        <f>IF(Roster!$M$1=0,"",Roster!$M$1)</f>
        <v>AG</v>
      </c>
      <c r="AG81" s="174"/>
      <c r="AH81" s="541"/>
      <c r="AI81" s="542"/>
      <c r="AJ81" s="542"/>
      <c r="AK81" s="542"/>
      <c r="AL81" s="542"/>
      <c r="AM81" s="542"/>
      <c r="AN81" s="542"/>
      <c r="AO81" s="542"/>
      <c r="AP81" s="542"/>
      <c r="AQ81" s="542"/>
      <c r="AR81" s="543"/>
      <c r="AS81" s="169"/>
      <c r="AU81" s="173" t="str">
        <f>IF(Roster!$M$1=0,"",Roster!$M$1)</f>
        <v>AG</v>
      </c>
      <c r="AV81" s="174"/>
      <c r="AW81" s="541"/>
      <c r="AX81" s="542"/>
      <c r="AY81" s="542"/>
      <c r="AZ81" s="542"/>
      <c r="BA81" s="542"/>
      <c r="BB81" s="542"/>
      <c r="BC81" s="542"/>
      <c r="BD81" s="542"/>
      <c r="BE81" s="542"/>
      <c r="BF81" s="542"/>
      <c r="BG81" s="543"/>
      <c r="BH81" s="169"/>
    </row>
    <row r="82" spans="2:60" ht="37.5" customHeight="1" x14ac:dyDescent="0.2">
      <c r="B82" s="176" t="str">
        <f>IF(Roster!$M$13=0&amp;"+","",Roster!$M$13)</f>
        <v>3+</v>
      </c>
      <c r="C82" s="174"/>
      <c r="D82" s="541"/>
      <c r="E82" s="542"/>
      <c r="F82" s="542"/>
      <c r="G82" s="542"/>
      <c r="H82" s="542"/>
      <c r="I82" s="542"/>
      <c r="J82" s="542"/>
      <c r="K82" s="542"/>
      <c r="L82" s="542"/>
      <c r="M82" s="542"/>
      <c r="N82" s="543"/>
      <c r="O82" s="169"/>
      <c r="Q82" s="176" t="str">
        <f>IF(Roster!$M$14=0&amp;"+","",Roster!$M$14)</f>
        <v>4+</v>
      </c>
      <c r="R82" s="174"/>
      <c r="S82" s="541"/>
      <c r="T82" s="542"/>
      <c r="U82" s="542"/>
      <c r="V82" s="542"/>
      <c r="W82" s="542"/>
      <c r="X82" s="542"/>
      <c r="Y82" s="542"/>
      <c r="Z82" s="542"/>
      <c r="AA82" s="542"/>
      <c r="AB82" s="542"/>
      <c r="AC82" s="543"/>
      <c r="AD82" s="169"/>
      <c r="AF82" s="176" t="str">
        <f>IF(Roster!$M$15=0&amp;"+","",Roster!$M$15)</f>
        <v/>
      </c>
      <c r="AG82" s="174"/>
      <c r="AH82" s="541"/>
      <c r="AI82" s="542"/>
      <c r="AJ82" s="542"/>
      <c r="AK82" s="542"/>
      <c r="AL82" s="542"/>
      <c r="AM82" s="542"/>
      <c r="AN82" s="542"/>
      <c r="AO82" s="542"/>
      <c r="AP82" s="542"/>
      <c r="AQ82" s="542"/>
      <c r="AR82" s="543"/>
      <c r="AS82" s="169"/>
      <c r="AU82" s="176" t="str">
        <f>IF(Roster!$M$16=0&amp;"+","",Roster!$M$16)</f>
        <v/>
      </c>
      <c r="AV82" s="174"/>
      <c r="AW82" s="541"/>
      <c r="AX82" s="542"/>
      <c r="AY82" s="542"/>
      <c r="AZ82" s="542"/>
      <c r="BA82" s="542"/>
      <c r="BB82" s="542"/>
      <c r="BC82" s="542"/>
      <c r="BD82" s="542"/>
      <c r="BE82" s="542"/>
      <c r="BF82" s="542"/>
      <c r="BG82" s="543"/>
      <c r="BH82" s="169"/>
    </row>
    <row r="83" spans="2:60" ht="11.25" customHeight="1" x14ac:dyDescent="0.2">
      <c r="B83" s="173" t="str">
        <f>IF(Roster!$N$1=0,"",Roster!$N$1)</f>
        <v>PA</v>
      </c>
      <c r="C83" s="174"/>
      <c r="D83" s="541"/>
      <c r="E83" s="542"/>
      <c r="F83" s="542"/>
      <c r="G83" s="542"/>
      <c r="H83" s="542"/>
      <c r="I83" s="542"/>
      <c r="J83" s="542"/>
      <c r="K83" s="542"/>
      <c r="L83" s="542"/>
      <c r="M83" s="542"/>
      <c r="N83" s="543"/>
      <c r="O83" s="178"/>
      <c r="Q83" s="173" t="str">
        <f>IF(Roster!$N$1=0,"",Roster!$N$1)</f>
        <v>PA</v>
      </c>
      <c r="R83" s="174"/>
      <c r="S83" s="541"/>
      <c r="T83" s="542"/>
      <c r="U83" s="542"/>
      <c r="V83" s="542"/>
      <c r="W83" s="542"/>
      <c r="X83" s="542"/>
      <c r="Y83" s="542"/>
      <c r="Z83" s="542"/>
      <c r="AA83" s="542"/>
      <c r="AB83" s="542"/>
      <c r="AC83" s="543"/>
      <c r="AD83" s="178"/>
      <c r="AF83" s="173" t="str">
        <f>IF(Roster!$N$1=0,"",Roster!$N$1)</f>
        <v>PA</v>
      </c>
      <c r="AG83" s="174"/>
      <c r="AH83" s="541"/>
      <c r="AI83" s="542"/>
      <c r="AJ83" s="542"/>
      <c r="AK83" s="542"/>
      <c r="AL83" s="542"/>
      <c r="AM83" s="542"/>
      <c r="AN83" s="542"/>
      <c r="AO83" s="542"/>
      <c r="AP83" s="542"/>
      <c r="AQ83" s="542"/>
      <c r="AR83" s="543"/>
      <c r="AS83" s="178"/>
      <c r="AU83" s="173" t="str">
        <f>IF(Roster!$N$1=0,"",Roster!$N$1)</f>
        <v>PA</v>
      </c>
      <c r="AV83" s="174"/>
      <c r="AW83" s="541"/>
      <c r="AX83" s="542"/>
      <c r="AY83" s="542"/>
      <c r="AZ83" s="542"/>
      <c r="BA83" s="542"/>
      <c r="BB83" s="542"/>
      <c r="BC83" s="542"/>
      <c r="BD83" s="542"/>
      <c r="BE83" s="542"/>
      <c r="BF83" s="542"/>
      <c r="BG83" s="543"/>
      <c r="BH83" s="178"/>
    </row>
    <row r="84" spans="2:60" ht="6" customHeight="1" x14ac:dyDescent="0.2">
      <c r="B84" s="530" t="str">
        <f>IF(Roster!$N$13=0&amp;"+","",Roster!$N$13)</f>
        <v>4+</v>
      </c>
      <c r="C84" s="174"/>
      <c r="D84" s="544"/>
      <c r="E84" s="545"/>
      <c r="F84" s="545"/>
      <c r="G84" s="545"/>
      <c r="H84" s="545"/>
      <c r="I84" s="545"/>
      <c r="J84" s="545"/>
      <c r="K84" s="545"/>
      <c r="L84" s="545"/>
      <c r="M84" s="545"/>
      <c r="N84" s="546"/>
      <c r="O84" s="180"/>
      <c r="Q84" s="530" t="str">
        <f>IF(Roster!$N$14=0&amp;"+","",Roster!$N$14)</f>
        <v/>
      </c>
      <c r="R84" s="174"/>
      <c r="S84" s="544"/>
      <c r="T84" s="545"/>
      <c r="U84" s="545"/>
      <c r="V84" s="545"/>
      <c r="W84" s="545"/>
      <c r="X84" s="545"/>
      <c r="Y84" s="545"/>
      <c r="Z84" s="545"/>
      <c r="AA84" s="545"/>
      <c r="AB84" s="545"/>
      <c r="AC84" s="546"/>
      <c r="AD84" s="180"/>
      <c r="AF84" s="530" t="str">
        <f>IF(Roster!$N$15=0&amp;"+","",Roster!$N$15)</f>
        <v/>
      </c>
      <c r="AG84" s="174"/>
      <c r="AH84" s="544"/>
      <c r="AI84" s="545"/>
      <c r="AJ84" s="545"/>
      <c r="AK84" s="545"/>
      <c r="AL84" s="545"/>
      <c r="AM84" s="545"/>
      <c r="AN84" s="545"/>
      <c r="AO84" s="545"/>
      <c r="AP84" s="545"/>
      <c r="AQ84" s="545"/>
      <c r="AR84" s="546"/>
      <c r="AS84" s="180"/>
      <c r="AU84" s="530" t="str">
        <f>IF(Roster!$N$16=0&amp;"+","",Roster!$N$16)</f>
        <v/>
      </c>
      <c r="AV84" s="174"/>
      <c r="AW84" s="544"/>
      <c r="AX84" s="545"/>
      <c r="AY84" s="545"/>
      <c r="AZ84" s="545"/>
      <c r="BA84" s="545"/>
      <c r="BB84" s="545"/>
      <c r="BC84" s="545"/>
      <c r="BD84" s="545"/>
      <c r="BE84" s="545"/>
      <c r="BF84" s="545"/>
      <c r="BG84" s="546"/>
      <c r="BH84" s="180"/>
    </row>
    <row r="85" spans="2:60" ht="4.5" customHeight="1" x14ac:dyDescent="0.2">
      <c r="B85" s="531"/>
      <c r="C85" s="172"/>
      <c r="D85" s="181"/>
      <c r="E85" s="179"/>
      <c r="F85" s="181"/>
      <c r="G85" s="179"/>
      <c r="H85" s="181"/>
      <c r="I85" s="179"/>
      <c r="J85" s="181"/>
      <c r="K85" s="179"/>
      <c r="L85" s="181"/>
      <c r="M85" s="179"/>
      <c r="N85" s="181"/>
      <c r="O85" s="180"/>
      <c r="Q85" s="531"/>
      <c r="R85" s="172"/>
      <c r="S85" s="181"/>
      <c r="T85" s="179"/>
      <c r="U85" s="181"/>
      <c r="V85" s="179"/>
      <c r="W85" s="181"/>
      <c r="X85" s="179"/>
      <c r="Y85" s="181"/>
      <c r="Z85" s="179"/>
      <c r="AA85" s="181"/>
      <c r="AB85" s="179"/>
      <c r="AC85" s="181"/>
      <c r="AD85" s="180"/>
      <c r="AF85" s="531"/>
      <c r="AG85" s="172"/>
      <c r="AH85" s="181"/>
      <c r="AI85" s="179"/>
      <c r="AJ85" s="181"/>
      <c r="AK85" s="179"/>
      <c r="AL85" s="181"/>
      <c r="AM85" s="179"/>
      <c r="AN85" s="181"/>
      <c r="AO85" s="179"/>
      <c r="AP85" s="181"/>
      <c r="AQ85" s="179"/>
      <c r="AR85" s="181"/>
      <c r="AS85" s="180"/>
      <c r="AU85" s="531"/>
      <c r="AV85" s="172"/>
      <c r="AW85" s="181"/>
      <c r="AX85" s="179"/>
      <c r="AY85" s="181"/>
      <c r="AZ85" s="179"/>
      <c r="BA85" s="181"/>
      <c r="BB85" s="179"/>
      <c r="BC85" s="181"/>
      <c r="BD85" s="179"/>
      <c r="BE85" s="181"/>
      <c r="BF85" s="179"/>
      <c r="BG85" s="181"/>
      <c r="BH85" s="180"/>
    </row>
    <row r="86" spans="2:60" ht="11.25" customHeight="1" x14ac:dyDescent="0.2">
      <c r="B86" s="531"/>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1"/>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1"/>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1"/>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31"/>
      <c r="C87" s="175"/>
      <c r="D87" s="212" t="str">
        <f>IF(Roster!$AD$13=0,"",Roster!$AD$13)</f>
        <v/>
      </c>
      <c r="E87" s="207"/>
      <c r="F87" s="212">
        <f>IF((SUM(H87,J87,L87))=0,"",(SUM(H87,J87,L87)))</f>
        <v>1</v>
      </c>
      <c r="G87" s="207"/>
      <c r="H87" s="212">
        <f>IF(Roster!$AG$13=0,"",Roster!$AG$13)</f>
        <v>1</v>
      </c>
      <c r="I87" s="207"/>
      <c r="J87" s="212" t="str">
        <f>IF(Roster!$AH$13=0,"",Roster!$AH$13)</f>
        <v/>
      </c>
      <c r="K87" s="207"/>
      <c r="L87" s="212" t="str">
        <f>IF(Roster!$AI$13=0,"",Roster!$AI$13)</f>
        <v/>
      </c>
      <c r="M87" s="207"/>
      <c r="N87" s="212" t="str">
        <f>IF(Roster!$AC$13=0,"",Roster!$AC$13)</f>
        <v/>
      </c>
      <c r="O87" s="180"/>
      <c r="Q87" s="531"/>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1"/>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1"/>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36"/>
      <c r="C88" s="175"/>
      <c r="D88" s="208"/>
      <c r="E88" s="207"/>
      <c r="F88" s="208"/>
      <c r="G88" s="207"/>
      <c r="H88" s="208"/>
      <c r="I88" s="207"/>
      <c r="J88" s="208"/>
      <c r="K88" s="207"/>
      <c r="L88" s="208"/>
      <c r="M88" s="207"/>
      <c r="N88" s="208"/>
      <c r="O88" s="180"/>
      <c r="Q88" s="336"/>
      <c r="R88" s="175"/>
      <c r="S88" s="208"/>
      <c r="T88" s="207"/>
      <c r="U88" s="208"/>
      <c r="V88" s="207"/>
      <c r="W88" s="208"/>
      <c r="X88" s="207"/>
      <c r="Y88" s="208"/>
      <c r="Z88" s="207"/>
      <c r="AA88" s="208"/>
      <c r="AB88" s="207"/>
      <c r="AC88" s="208"/>
      <c r="AD88" s="180"/>
      <c r="AF88" s="336"/>
      <c r="AG88" s="175"/>
      <c r="AH88" s="208"/>
      <c r="AI88" s="207"/>
      <c r="AJ88" s="208"/>
      <c r="AK88" s="207"/>
      <c r="AL88" s="208"/>
      <c r="AM88" s="207"/>
      <c r="AN88" s="208"/>
      <c r="AO88" s="207"/>
      <c r="AP88" s="208"/>
      <c r="AQ88" s="207"/>
      <c r="AR88" s="208"/>
      <c r="AS88" s="180"/>
      <c r="AU88" s="336"/>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30" t="str">
        <f>IF(Roster!$O$13=0&amp;"+","",Roster!$O$13)</f>
        <v>8+</v>
      </c>
      <c r="C90" s="175"/>
      <c r="D90" s="212" t="str">
        <f>IF(Roster!$AE$13=0,"",Roster!$AE$13)</f>
        <v/>
      </c>
      <c r="E90" s="207"/>
      <c r="F90" s="212" t="str">
        <f>IF(Roster!$AF$13=0,"",Roster!$AF$13)</f>
        <v/>
      </c>
      <c r="G90" s="207"/>
      <c r="H90" s="212" t="str">
        <f>IF(Roster!$AB$13=0,"",Roster!$AB$13)</f>
        <v/>
      </c>
      <c r="I90" s="207"/>
      <c r="J90" s="212" t="str">
        <f>IF(Roster!$AJ$13=0,"",Roster!$AJ$13)</f>
        <v/>
      </c>
      <c r="K90" s="207"/>
      <c r="L90" s="212">
        <f>IF(Roster!$AK$13=0,"",Roster!$AK$13)</f>
        <v>2</v>
      </c>
      <c r="M90" s="207"/>
      <c r="N90" s="212" t="str">
        <f>IF(Roster!$AA$13=0,"",Roster!$AA$13)</f>
        <v/>
      </c>
      <c r="O90" s="182"/>
      <c r="Q90" s="530" t="str">
        <f>IF(Roster!$O$14=0&amp;"+","",Roster!$O$14)</f>
        <v>9+</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30"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30"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31"/>
      <c r="C91" s="175"/>
      <c r="D91" s="207"/>
      <c r="E91" s="207"/>
      <c r="F91" s="207"/>
      <c r="G91" s="207"/>
      <c r="H91" s="207"/>
      <c r="I91" s="207"/>
      <c r="J91" s="207"/>
      <c r="K91" s="207"/>
      <c r="L91" s="207"/>
      <c r="M91" s="207"/>
      <c r="N91" s="210"/>
      <c r="O91" s="182"/>
      <c r="Q91" s="531"/>
      <c r="R91" s="175"/>
      <c r="S91" s="207"/>
      <c r="T91" s="207"/>
      <c r="U91" s="207"/>
      <c r="V91" s="207"/>
      <c r="W91" s="207"/>
      <c r="X91" s="207"/>
      <c r="Y91" s="207"/>
      <c r="Z91" s="207"/>
      <c r="AA91" s="207"/>
      <c r="AB91" s="207"/>
      <c r="AC91" s="210"/>
      <c r="AD91" s="182"/>
      <c r="AF91" s="531"/>
      <c r="AG91" s="175"/>
      <c r="AH91" s="207"/>
      <c r="AI91" s="207"/>
      <c r="AJ91" s="207"/>
      <c r="AK91" s="207"/>
      <c r="AL91" s="207"/>
      <c r="AM91" s="207"/>
      <c r="AN91" s="207"/>
      <c r="AO91" s="207"/>
      <c r="AP91" s="207"/>
      <c r="AQ91" s="207"/>
      <c r="AR91" s="210"/>
      <c r="AS91" s="182"/>
      <c r="AU91" s="531"/>
      <c r="AV91" s="175"/>
      <c r="AW91" s="207"/>
      <c r="AX91" s="207"/>
      <c r="AY91" s="207"/>
      <c r="AZ91" s="207"/>
      <c r="BA91" s="207"/>
      <c r="BB91" s="207"/>
      <c r="BC91" s="207"/>
      <c r="BD91" s="207"/>
      <c r="BE91" s="207"/>
      <c r="BF91" s="207"/>
      <c r="BG91" s="210"/>
      <c r="BH91" s="182"/>
    </row>
    <row r="92" spans="2:60" ht="11.25" customHeight="1" x14ac:dyDescent="0.2">
      <c r="B92" s="531"/>
      <c r="C92" s="175"/>
      <c r="D92" s="562" t="str">
        <f>IF(Roster!$K$25="Italiano","ABILITÀ &amp; TRATTI",(IF(Roster!$K$25="Español","HABILIDADES Y RASGOS","SKILLS &amp; TRAITS")))</f>
        <v>SKILLS &amp; TRAITS</v>
      </c>
      <c r="E92" s="563"/>
      <c r="F92" s="563"/>
      <c r="G92" s="563"/>
      <c r="H92" s="563"/>
      <c r="I92" s="563"/>
      <c r="J92" s="563"/>
      <c r="K92" s="563"/>
      <c r="L92" s="563"/>
      <c r="M92" s="563"/>
      <c r="N92" s="564"/>
      <c r="O92" s="182"/>
      <c r="Q92" s="531"/>
      <c r="R92" s="175"/>
      <c r="S92" s="562" t="str">
        <f>IF(Roster!$K$25="Italiano","ABILITÀ &amp; TRATTI",(IF(Roster!$K$25="Español","HABILIDADES Y RASGOS","SKILLS &amp; TRAITS")))</f>
        <v>SKILLS &amp; TRAITS</v>
      </c>
      <c r="T92" s="563"/>
      <c r="U92" s="563"/>
      <c r="V92" s="563"/>
      <c r="W92" s="563"/>
      <c r="X92" s="563"/>
      <c r="Y92" s="563"/>
      <c r="Z92" s="563"/>
      <c r="AA92" s="563"/>
      <c r="AB92" s="563"/>
      <c r="AC92" s="564"/>
      <c r="AD92" s="182"/>
      <c r="AF92" s="531"/>
      <c r="AG92" s="175"/>
      <c r="AH92" s="562" t="str">
        <f>IF(Roster!$K$25="Italiano","ABILITÀ &amp; TRATTI",(IF(Roster!$K$25="Español","HABILIDADES Y RASGOS","SKILLS &amp; TRAITS")))</f>
        <v>SKILLS &amp; TRAITS</v>
      </c>
      <c r="AI92" s="563"/>
      <c r="AJ92" s="563"/>
      <c r="AK92" s="563"/>
      <c r="AL92" s="563"/>
      <c r="AM92" s="563"/>
      <c r="AN92" s="563"/>
      <c r="AO92" s="563"/>
      <c r="AP92" s="563"/>
      <c r="AQ92" s="563"/>
      <c r="AR92" s="564"/>
      <c r="AS92" s="182"/>
      <c r="AU92" s="531"/>
      <c r="AV92" s="175"/>
      <c r="AW92" s="562" t="str">
        <f>IF(Roster!$K$25="Italiano","ABILITÀ &amp; TRATTI",(IF(Roster!$K$25="Español","HABILIDADES Y RASGOS","SKILLS &amp; TRAITS")))</f>
        <v>SKILLS &amp; TRAITS</v>
      </c>
      <c r="AX92" s="563"/>
      <c r="AY92" s="563"/>
      <c r="AZ92" s="563"/>
      <c r="BA92" s="563"/>
      <c r="BB92" s="563"/>
      <c r="BC92" s="563"/>
      <c r="BD92" s="563"/>
      <c r="BE92" s="563"/>
      <c r="BF92" s="563"/>
      <c r="BG92" s="564"/>
      <c r="BH92" s="182"/>
    </row>
    <row r="93" spans="2:60" ht="6.75" customHeight="1" x14ac:dyDescent="0.2">
      <c r="B93" s="336"/>
      <c r="C93" s="175"/>
      <c r="D93" s="565" t="str">
        <f>IF(Roster!$P$13=0&amp;AQ74,"",Roster!$P$13)</f>
        <v xml:space="preserve"> </v>
      </c>
      <c r="E93" s="490"/>
      <c r="F93" s="490"/>
      <c r="G93" s="490"/>
      <c r="H93" s="490"/>
      <c r="I93" s="490"/>
      <c r="J93" s="490"/>
      <c r="K93" s="490"/>
      <c r="L93" s="490"/>
      <c r="M93" s="490"/>
      <c r="N93" s="566"/>
      <c r="O93" s="182"/>
      <c r="Q93" s="336"/>
      <c r="R93" s="175"/>
      <c r="S93" s="565" t="str">
        <f>IF(Roster!$P$14=0&amp;BF74,"",Roster!$P$14)</f>
        <v>Frenzy, Horns, Mighty Blow (+1), Thick Skull, Unchannelled Fury</v>
      </c>
      <c r="T93" s="490"/>
      <c r="U93" s="490"/>
      <c r="V93" s="490"/>
      <c r="W93" s="490"/>
      <c r="X93" s="490"/>
      <c r="Y93" s="490"/>
      <c r="Z93" s="490"/>
      <c r="AA93" s="490"/>
      <c r="AB93" s="490"/>
      <c r="AC93" s="566"/>
      <c r="AD93" s="182"/>
      <c r="AF93" s="336"/>
      <c r="AG93" s="175"/>
      <c r="AH93" s="565" t="str">
        <f>IF(Roster!$P$15=0&amp;BU74,"",Roster!$P$15)</f>
        <v/>
      </c>
      <c r="AI93" s="490"/>
      <c r="AJ93" s="490"/>
      <c r="AK93" s="490"/>
      <c r="AL93" s="490"/>
      <c r="AM93" s="490"/>
      <c r="AN93" s="490"/>
      <c r="AO93" s="490"/>
      <c r="AP93" s="490"/>
      <c r="AQ93" s="490"/>
      <c r="AR93" s="566"/>
      <c r="AS93" s="182"/>
      <c r="AU93" s="336"/>
      <c r="AV93" s="175"/>
      <c r="AW93" s="565" t="str">
        <f>IF(Roster!$P$16=0&amp;CJ74,"",Roster!$P$16)</f>
        <v/>
      </c>
      <c r="AX93" s="490"/>
      <c r="AY93" s="490"/>
      <c r="AZ93" s="490"/>
      <c r="BA93" s="490"/>
      <c r="BB93" s="490"/>
      <c r="BC93" s="490"/>
      <c r="BD93" s="490"/>
      <c r="BE93" s="490"/>
      <c r="BF93" s="490"/>
      <c r="BG93" s="566"/>
      <c r="BH93" s="182"/>
    </row>
    <row r="94" spans="2:60" ht="11.25" customHeight="1" x14ac:dyDescent="0.2">
      <c r="B94" s="173" t="str">
        <f>IF(Roster!$AO$1=0,"",Roster!$AO$1)</f>
        <v>COST</v>
      </c>
      <c r="C94" s="174"/>
      <c r="D94" s="567"/>
      <c r="E94" s="568"/>
      <c r="F94" s="568"/>
      <c r="G94" s="568"/>
      <c r="H94" s="568"/>
      <c r="I94" s="568"/>
      <c r="J94" s="568"/>
      <c r="K94" s="568"/>
      <c r="L94" s="568"/>
      <c r="M94" s="568"/>
      <c r="N94" s="566"/>
      <c r="O94" s="185"/>
      <c r="Q94" s="173" t="str">
        <f>IF(Roster!$AO$1=0,"",Roster!$AO$1)</f>
        <v>COST</v>
      </c>
      <c r="R94" s="174"/>
      <c r="S94" s="567"/>
      <c r="T94" s="568"/>
      <c r="U94" s="568"/>
      <c r="V94" s="568"/>
      <c r="W94" s="568"/>
      <c r="X94" s="568"/>
      <c r="Y94" s="568"/>
      <c r="Z94" s="568"/>
      <c r="AA94" s="568"/>
      <c r="AB94" s="568"/>
      <c r="AC94" s="566"/>
      <c r="AD94" s="185"/>
      <c r="AF94" s="173" t="str">
        <f>IF(Roster!$AO$1=0,"",Roster!$AO$1)</f>
        <v>COST</v>
      </c>
      <c r="AG94" s="174"/>
      <c r="AH94" s="567"/>
      <c r="AI94" s="568"/>
      <c r="AJ94" s="568"/>
      <c r="AK94" s="568"/>
      <c r="AL94" s="568"/>
      <c r="AM94" s="568"/>
      <c r="AN94" s="568"/>
      <c r="AO94" s="568"/>
      <c r="AP94" s="568"/>
      <c r="AQ94" s="568"/>
      <c r="AR94" s="566"/>
      <c r="AS94" s="185"/>
      <c r="AU94" s="173" t="str">
        <f>IF(Roster!$AO$1=0,"",Roster!$AO$1)</f>
        <v>COST</v>
      </c>
      <c r="AV94" s="174"/>
      <c r="AW94" s="567"/>
      <c r="AX94" s="568"/>
      <c r="AY94" s="568"/>
      <c r="AZ94" s="568"/>
      <c r="BA94" s="568"/>
      <c r="BB94" s="568"/>
      <c r="BC94" s="568"/>
      <c r="BD94" s="568"/>
      <c r="BE94" s="568"/>
      <c r="BF94" s="568"/>
      <c r="BG94" s="566"/>
      <c r="BH94" s="185"/>
    </row>
    <row r="95" spans="2:60" ht="34.5" customHeight="1" x14ac:dyDescent="0.2">
      <c r="B95" s="187">
        <f>IF(Roster!$AO$13=0,"",Roster!$AO$13)</f>
        <v>40000</v>
      </c>
      <c r="C95" s="188"/>
      <c r="D95" s="569"/>
      <c r="E95" s="570"/>
      <c r="F95" s="570"/>
      <c r="G95" s="570"/>
      <c r="H95" s="570"/>
      <c r="I95" s="570"/>
      <c r="J95" s="570"/>
      <c r="K95" s="570"/>
      <c r="L95" s="570"/>
      <c r="M95" s="570"/>
      <c r="N95" s="571"/>
      <c r="O95" s="185"/>
      <c r="Q95" s="187">
        <f>IF(Roster!$AO$14=0,"",Roster!$AO$14)</f>
        <v>150000</v>
      </c>
      <c r="R95" s="188"/>
      <c r="S95" s="569"/>
      <c r="T95" s="570"/>
      <c r="U95" s="570"/>
      <c r="V95" s="570"/>
      <c r="W95" s="570"/>
      <c r="X95" s="570"/>
      <c r="Y95" s="570"/>
      <c r="Z95" s="570"/>
      <c r="AA95" s="570"/>
      <c r="AB95" s="570"/>
      <c r="AC95" s="571"/>
      <c r="AD95" s="185"/>
      <c r="AF95" s="187" t="str">
        <f>IF(Roster!$AO$15=0,"",Roster!$AO$15)</f>
        <v/>
      </c>
      <c r="AG95" s="188"/>
      <c r="AH95" s="569"/>
      <c r="AI95" s="570"/>
      <c r="AJ95" s="570"/>
      <c r="AK95" s="570"/>
      <c r="AL95" s="570"/>
      <c r="AM95" s="570"/>
      <c r="AN95" s="570"/>
      <c r="AO95" s="570"/>
      <c r="AP95" s="570"/>
      <c r="AQ95" s="570"/>
      <c r="AR95" s="571"/>
      <c r="AS95" s="185"/>
      <c r="AU95" s="187" t="str">
        <f>IF(Roster!$AO$16=0,"",Roster!$AO$16)</f>
        <v/>
      </c>
      <c r="AV95" s="188"/>
      <c r="AW95" s="569"/>
      <c r="AX95" s="570"/>
      <c r="AY95" s="570"/>
      <c r="AZ95" s="570"/>
      <c r="BA95" s="570"/>
      <c r="BB95" s="570"/>
      <c r="BC95" s="570"/>
      <c r="BD95" s="570"/>
      <c r="BE95" s="570"/>
      <c r="BF95" s="570"/>
      <c r="BG95" s="571"/>
      <c r="BH95" s="185"/>
    </row>
    <row r="96" spans="2:60" ht="4.5" customHeight="1" x14ac:dyDescent="0.2">
      <c r="B96" s="572"/>
      <c r="C96" s="333"/>
      <c r="D96" s="333"/>
      <c r="E96" s="333"/>
      <c r="F96" s="333"/>
      <c r="G96" s="333"/>
      <c r="H96" s="333"/>
      <c r="I96" s="333"/>
      <c r="J96" s="333"/>
      <c r="K96" s="333"/>
      <c r="L96" s="333"/>
      <c r="M96" s="333"/>
      <c r="N96" s="335"/>
      <c r="O96" s="189"/>
      <c r="Q96" s="572"/>
      <c r="R96" s="333"/>
      <c r="S96" s="333"/>
      <c r="T96" s="333"/>
      <c r="U96" s="333"/>
      <c r="V96" s="333"/>
      <c r="W96" s="333"/>
      <c r="X96" s="333"/>
      <c r="Y96" s="333"/>
      <c r="Z96" s="333"/>
      <c r="AA96" s="333"/>
      <c r="AB96" s="333"/>
      <c r="AC96" s="335"/>
      <c r="AD96" s="189"/>
      <c r="AF96" s="572"/>
      <c r="AG96" s="333"/>
      <c r="AH96" s="333"/>
      <c r="AI96" s="333"/>
      <c r="AJ96" s="333"/>
      <c r="AK96" s="333"/>
      <c r="AL96" s="333"/>
      <c r="AM96" s="333"/>
      <c r="AN96" s="333"/>
      <c r="AO96" s="333"/>
      <c r="AP96" s="333"/>
      <c r="AQ96" s="333"/>
      <c r="AR96" s="335"/>
      <c r="AS96" s="189"/>
      <c r="AU96" s="572"/>
      <c r="AV96" s="333"/>
      <c r="AW96" s="333"/>
      <c r="AX96" s="333"/>
      <c r="AY96" s="333"/>
      <c r="AZ96" s="333"/>
      <c r="BA96" s="333"/>
      <c r="BB96" s="333"/>
      <c r="BC96" s="333"/>
      <c r="BD96" s="333"/>
      <c r="BE96" s="333"/>
      <c r="BF96" s="333"/>
      <c r="BG96" s="335"/>
      <c r="BH96" s="189"/>
    </row>
    <row r="97" spans="2:61" ht="11.25" customHeight="1" x14ac:dyDescent="0.2"/>
    <row r="98" spans="2:61" ht="4.5" customHeight="1" x14ac:dyDescent="0.2">
      <c r="B98" s="514" t="str">
        <f>IF(Roster!$A$17=0,"","#"&amp;Roster!$A$17)</f>
        <v>#16</v>
      </c>
      <c r="C98" s="167"/>
      <c r="D98" s="167"/>
      <c r="E98" s="167"/>
      <c r="F98" s="167"/>
      <c r="G98" s="167"/>
      <c r="H98" s="167"/>
      <c r="I98" s="167"/>
      <c r="J98" s="167"/>
      <c r="K98" s="167"/>
      <c r="L98" s="167"/>
      <c r="M98" s="167"/>
      <c r="N98" s="167"/>
      <c r="O98" s="168"/>
      <c r="Q98" s="514"/>
      <c r="R98" s="167"/>
      <c r="S98" s="167"/>
      <c r="T98" s="167"/>
      <c r="U98" s="167"/>
      <c r="V98" s="167"/>
      <c r="W98" s="167"/>
      <c r="X98" s="167"/>
      <c r="Y98" s="167"/>
      <c r="Z98" s="167"/>
      <c r="AA98" s="167"/>
      <c r="AB98" s="167"/>
      <c r="AC98" s="167"/>
      <c r="AD98" s="168"/>
      <c r="AE98" s="181"/>
      <c r="AF98" s="514"/>
      <c r="AG98" s="167"/>
      <c r="AH98" s="167"/>
      <c r="AI98" s="167"/>
      <c r="AJ98" s="167"/>
      <c r="AK98" s="167"/>
      <c r="AL98" s="167"/>
      <c r="AM98" s="167"/>
      <c r="AN98" s="167"/>
      <c r="AO98" s="167"/>
      <c r="AP98" s="167"/>
      <c r="AQ98" s="167"/>
      <c r="AR98" s="167"/>
      <c r="AS98" s="168"/>
      <c r="AT98" s="181"/>
      <c r="AU98" s="514"/>
      <c r="AV98" s="167"/>
      <c r="AW98" s="167"/>
      <c r="AX98" s="167"/>
      <c r="AY98" s="167"/>
      <c r="AZ98" s="167"/>
      <c r="BA98" s="167"/>
      <c r="BB98" s="167"/>
      <c r="BC98" s="167"/>
      <c r="BD98" s="167"/>
      <c r="BE98" s="167"/>
      <c r="BF98" s="167"/>
      <c r="BG98" s="167"/>
      <c r="BH98" s="168"/>
      <c r="BI98" s="190"/>
    </row>
    <row r="99" spans="2:61" ht="15" customHeight="1" x14ac:dyDescent="0.25">
      <c r="B99" s="515"/>
      <c r="C99" s="537" t="str">
        <f>IF(Roster!$B$17=0,"",Roster!$B$17)</f>
        <v/>
      </c>
      <c r="D99" s="304"/>
      <c r="E99" s="304"/>
      <c r="F99" s="304"/>
      <c r="G99" s="304"/>
      <c r="H99" s="304"/>
      <c r="I99" s="304"/>
      <c r="J99" s="304"/>
      <c r="K99" s="304"/>
      <c r="L99" s="304"/>
      <c r="M99" s="304"/>
      <c r="N99" s="305"/>
      <c r="O99" s="169"/>
      <c r="Q99" s="515"/>
      <c r="R99" s="517" t="str">
        <f>IF(Roster!$B$18=0,"","("&amp;Roster!$B$18&amp;")")</f>
        <v>(Star Player &amp; Mercenary)</v>
      </c>
      <c r="S99" s="304"/>
      <c r="T99" s="304"/>
      <c r="U99" s="304"/>
      <c r="V99" s="304"/>
      <c r="W99" s="304"/>
      <c r="X99" s="304"/>
      <c r="Y99" s="304"/>
      <c r="Z99" s="304"/>
      <c r="AA99" s="304"/>
      <c r="AB99" s="304"/>
      <c r="AC99" s="305"/>
      <c r="AD99" s="169"/>
      <c r="AE99" s="181"/>
      <c r="AF99" s="515"/>
      <c r="AG99" s="517" t="str">
        <f>IF(Roster!$B$18=0,"","("&amp;Roster!$B$18&amp;")")</f>
        <v>(Star Player &amp; Mercenary)</v>
      </c>
      <c r="AH99" s="304"/>
      <c r="AI99" s="304"/>
      <c r="AJ99" s="304"/>
      <c r="AK99" s="304"/>
      <c r="AL99" s="304"/>
      <c r="AM99" s="304"/>
      <c r="AN99" s="304"/>
      <c r="AO99" s="304"/>
      <c r="AP99" s="304"/>
      <c r="AQ99" s="304"/>
      <c r="AR99" s="305"/>
      <c r="AS99" s="169"/>
      <c r="AT99" s="181"/>
      <c r="AU99" s="515"/>
      <c r="AV99" s="517" t="str">
        <f>IF(Roster!$B$20=0,"","("&amp;Roster!$B$20&amp;")")</f>
        <v>(Mercenary)</v>
      </c>
      <c r="AW99" s="304"/>
      <c r="AX99" s="304"/>
      <c r="AY99" s="304"/>
      <c r="AZ99" s="304"/>
      <c r="BA99" s="304"/>
      <c r="BB99" s="304"/>
      <c r="BC99" s="304"/>
      <c r="BD99" s="304"/>
      <c r="BE99" s="304"/>
      <c r="BF99" s="304"/>
      <c r="BG99" s="305"/>
      <c r="BH99" s="169"/>
      <c r="BI99" s="190"/>
    </row>
    <row r="100" spans="2:61" ht="11.25" customHeight="1" x14ac:dyDescent="0.2">
      <c r="B100" s="516"/>
      <c r="C100" s="517" t="str">
        <f>IF(Roster!$D$17=0,"",Roster!$D$17)</f>
        <v/>
      </c>
      <c r="D100" s="304"/>
      <c r="E100" s="304"/>
      <c r="F100" s="304"/>
      <c r="G100" s="304"/>
      <c r="H100" s="304"/>
      <c r="I100" s="304"/>
      <c r="J100" s="304"/>
      <c r="K100" s="304"/>
      <c r="L100" s="304"/>
      <c r="M100" s="304"/>
      <c r="N100" s="305"/>
      <c r="O100" s="170"/>
      <c r="Q100" s="516"/>
      <c r="R100" s="518" t="str">
        <f>IF(Roster!$D$18=0,"",Roster!$D$18)</f>
        <v/>
      </c>
      <c r="S100" s="496"/>
      <c r="T100" s="496"/>
      <c r="U100" s="496"/>
      <c r="V100" s="496"/>
      <c r="W100" s="496"/>
      <c r="X100" s="496"/>
      <c r="Y100" s="496"/>
      <c r="Z100" s="496"/>
      <c r="AA100" s="496"/>
      <c r="AB100" s="496"/>
      <c r="AC100" s="497"/>
      <c r="AD100" s="170"/>
      <c r="AE100" s="181"/>
      <c r="AF100" s="516"/>
      <c r="AG100" s="518" t="str">
        <f>IF(Roster!$D$19=0,"",Roster!$D$19)</f>
        <v/>
      </c>
      <c r="AH100" s="496"/>
      <c r="AI100" s="496"/>
      <c r="AJ100" s="496"/>
      <c r="AK100" s="496"/>
      <c r="AL100" s="496"/>
      <c r="AM100" s="496"/>
      <c r="AN100" s="496"/>
      <c r="AO100" s="496"/>
      <c r="AP100" s="496"/>
      <c r="AQ100" s="496"/>
      <c r="AR100" s="497"/>
      <c r="AS100" s="170"/>
      <c r="AT100" s="181"/>
      <c r="AU100" s="516"/>
      <c r="AV100" s="518" t="str">
        <f>IF(Roster!$D$20=0,"",Roster!$D$20)</f>
        <v/>
      </c>
      <c r="AW100" s="496"/>
      <c r="AX100" s="496"/>
      <c r="AY100" s="496"/>
      <c r="AZ100" s="496"/>
      <c r="BA100" s="496"/>
      <c r="BB100" s="496"/>
      <c r="BC100" s="496"/>
      <c r="BD100" s="496"/>
      <c r="BE100" s="496"/>
      <c r="BF100" s="496"/>
      <c r="BG100" s="497"/>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8"/>
      <c r="S101" s="384"/>
      <c r="T101" s="384"/>
      <c r="U101" s="384"/>
      <c r="V101" s="384"/>
      <c r="W101" s="384"/>
      <c r="X101" s="384"/>
      <c r="Y101" s="384"/>
      <c r="Z101" s="384"/>
      <c r="AA101" s="384"/>
      <c r="AB101" s="384"/>
      <c r="AC101" s="499"/>
      <c r="AD101" s="169"/>
      <c r="AE101" s="181"/>
      <c r="AF101" s="173" t="str">
        <f>IF(Roster!$K$1=0,"",Roster!$K$1)</f>
        <v>MA</v>
      </c>
      <c r="AG101" s="498"/>
      <c r="AH101" s="384"/>
      <c r="AI101" s="384"/>
      <c r="AJ101" s="384"/>
      <c r="AK101" s="384"/>
      <c r="AL101" s="384"/>
      <c r="AM101" s="384"/>
      <c r="AN101" s="384"/>
      <c r="AO101" s="384"/>
      <c r="AP101" s="384"/>
      <c r="AQ101" s="384"/>
      <c r="AR101" s="499"/>
      <c r="AS101" s="169"/>
      <c r="AT101" s="181"/>
      <c r="AU101" s="173" t="str">
        <f>IF(Roster!$K$1=0,"",Roster!$K$1)</f>
        <v>MA</v>
      </c>
      <c r="AV101" s="498"/>
      <c r="AW101" s="384"/>
      <c r="AX101" s="384"/>
      <c r="AY101" s="384"/>
      <c r="AZ101" s="384"/>
      <c r="BA101" s="384"/>
      <c r="BB101" s="384"/>
      <c r="BC101" s="384"/>
      <c r="BD101" s="384"/>
      <c r="BE101" s="384"/>
      <c r="BF101" s="384"/>
      <c r="BG101" s="499"/>
      <c r="BH101" s="169"/>
      <c r="BI101" s="190"/>
    </row>
    <row r="102" spans="2:61" ht="37.5" customHeight="1" x14ac:dyDescent="0.2">
      <c r="B102" s="176" t="str">
        <f>IF(Roster!$K$17=0,"",Roster!$K$17)</f>
        <v/>
      </c>
      <c r="C102" s="174"/>
      <c r="D102" s="538"/>
      <c r="E102" s="539"/>
      <c r="F102" s="539"/>
      <c r="G102" s="539"/>
      <c r="H102" s="539"/>
      <c r="I102" s="539"/>
      <c r="J102" s="539"/>
      <c r="K102" s="539"/>
      <c r="L102" s="539"/>
      <c r="M102" s="539"/>
      <c r="N102" s="540"/>
      <c r="O102" s="169"/>
      <c r="Q102" s="176" t="str">
        <f>IF(Roster!$K$18=0,"",Roster!$K$18)</f>
        <v/>
      </c>
      <c r="R102" s="500"/>
      <c r="S102" s="501"/>
      <c r="T102" s="501"/>
      <c r="U102" s="501"/>
      <c r="V102" s="501"/>
      <c r="W102" s="501"/>
      <c r="X102" s="501"/>
      <c r="Y102" s="501"/>
      <c r="Z102" s="501"/>
      <c r="AA102" s="501"/>
      <c r="AB102" s="501"/>
      <c r="AC102" s="292"/>
      <c r="AD102" s="511"/>
      <c r="AE102" s="181"/>
      <c r="AF102" s="176" t="str">
        <f>IF(Roster!$K$19=0,"",Roster!$K$19)</f>
        <v/>
      </c>
      <c r="AG102" s="500"/>
      <c r="AH102" s="501"/>
      <c r="AI102" s="501"/>
      <c r="AJ102" s="501"/>
      <c r="AK102" s="501"/>
      <c r="AL102" s="501"/>
      <c r="AM102" s="501"/>
      <c r="AN102" s="501"/>
      <c r="AO102" s="501"/>
      <c r="AP102" s="501"/>
      <c r="AQ102" s="501"/>
      <c r="AR102" s="292"/>
      <c r="AS102" s="511"/>
      <c r="AT102" s="181"/>
      <c r="AU102" s="176" t="str">
        <f>IF(Roster!$K$20=0,"",Roster!$K$20)</f>
        <v/>
      </c>
      <c r="AV102" s="500"/>
      <c r="AW102" s="501"/>
      <c r="AX102" s="501"/>
      <c r="AY102" s="501"/>
      <c r="AZ102" s="501"/>
      <c r="BA102" s="501"/>
      <c r="BB102" s="501"/>
      <c r="BC102" s="501"/>
      <c r="BD102" s="501"/>
      <c r="BE102" s="501"/>
      <c r="BF102" s="501"/>
      <c r="BG102" s="292"/>
      <c r="BH102" s="511"/>
      <c r="BI102" s="190"/>
    </row>
    <row r="103" spans="2:61" ht="11.25" customHeight="1" x14ac:dyDescent="0.2">
      <c r="B103" s="173" t="str">
        <f>IF(Roster!$L$1=0,"",Roster!$L$1)</f>
        <v>ST</v>
      </c>
      <c r="C103" s="174"/>
      <c r="D103" s="541"/>
      <c r="E103" s="542"/>
      <c r="F103" s="542"/>
      <c r="G103" s="542"/>
      <c r="H103" s="542"/>
      <c r="I103" s="542"/>
      <c r="J103" s="542"/>
      <c r="K103" s="542"/>
      <c r="L103" s="542"/>
      <c r="M103" s="542"/>
      <c r="N103" s="543"/>
      <c r="O103" s="169"/>
      <c r="Q103" s="173" t="str">
        <f>IF(Roster!$L$1=0,"",Roster!$L$1)</f>
        <v>ST</v>
      </c>
      <c r="R103" s="510"/>
      <c r="S103" s="519" t="str">
        <f>IF(Roster!$K$25="Español","REGLA ESPECIAL","SPECIAL RULE")</f>
        <v>SPECIAL RULE</v>
      </c>
      <c r="T103" s="330"/>
      <c r="U103" s="330"/>
      <c r="V103" s="330"/>
      <c r="W103" s="330"/>
      <c r="X103" s="330"/>
      <c r="Y103" s="330"/>
      <c r="Z103" s="330"/>
      <c r="AA103" s="330"/>
      <c r="AB103" s="330"/>
      <c r="AC103" s="520"/>
      <c r="AD103" s="512"/>
      <c r="AE103" s="181"/>
      <c r="AF103" s="173" t="str">
        <f>IF(Roster!$L$1=0,"",Roster!$L$1)</f>
        <v>ST</v>
      </c>
      <c r="AG103" s="510"/>
      <c r="AH103" s="519" t="str">
        <f>IF(Roster!$K$25="Español","REGLA ESPECIAL","SPECIAL RULE")</f>
        <v>SPECIAL RULE</v>
      </c>
      <c r="AI103" s="330"/>
      <c r="AJ103" s="330"/>
      <c r="AK103" s="330"/>
      <c r="AL103" s="330"/>
      <c r="AM103" s="330"/>
      <c r="AN103" s="330"/>
      <c r="AO103" s="330"/>
      <c r="AP103" s="330"/>
      <c r="AQ103" s="330"/>
      <c r="AR103" s="520"/>
      <c r="AS103" s="512"/>
      <c r="AT103" s="181"/>
      <c r="AU103" s="173" t="str">
        <f>IF(Roster!$L$1=0,"",Roster!$L$1)</f>
        <v>ST</v>
      </c>
      <c r="AV103" s="510"/>
      <c r="AW103" s="519" t="str">
        <f>IF(Roster!$K$25="Italiano","REGOLE SPECIALI",(IF(Roster!$K$25="Español","REGLA ESPECIAL","SPECIAL RULE")))</f>
        <v>SPECIAL RULE</v>
      </c>
      <c r="AX103" s="330"/>
      <c r="AY103" s="330"/>
      <c r="AZ103" s="330"/>
      <c r="BA103" s="330"/>
      <c r="BB103" s="330"/>
      <c r="BC103" s="330"/>
      <c r="BD103" s="330"/>
      <c r="BE103" s="330"/>
      <c r="BF103" s="330"/>
      <c r="BG103" s="520"/>
      <c r="BH103" s="512"/>
      <c r="BI103" s="190"/>
    </row>
    <row r="104" spans="2:61" ht="37.5" customHeight="1" x14ac:dyDescent="0.2">
      <c r="B104" s="176" t="str">
        <f>IF(Roster!$L$17=0,"",Roster!$L$17)</f>
        <v/>
      </c>
      <c r="C104" s="174"/>
      <c r="D104" s="541"/>
      <c r="E104" s="542"/>
      <c r="F104" s="542"/>
      <c r="G104" s="542"/>
      <c r="H104" s="542"/>
      <c r="I104" s="542"/>
      <c r="J104" s="542"/>
      <c r="K104" s="542"/>
      <c r="L104" s="542"/>
      <c r="M104" s="542"/>
      <c r="N104" s="543"/>
      <c r="O104" s="169"/>
      <c r="Q104" s="176" t="str">
        <f>IF(Roster!$L$18=0,"",Roster!$L$18)</f>
        <v/>
      </c>
      <c r="R104" s="291"/>
      <c r="S104" s="521" t="str">
        <f>IF(Roster!$AA$18=0,"",Roster!$AA$18)</f>
        <v/>
      </c>
      <c r="T104" s="522"/>
      <c r="U104" s="522"/>
      <c r="V104" s="522"/>
      <c r="W104" s="522"/>
      <c r="X104" s="522"/>
      <c r="Y104" s="522"/>
      <c r="Z104" s="522"/>
      <c r="AA104" s="522"/>
      <c r="AB104" s="522"/>
      <c r="AC104" s="523"/>
      <c r="AD104" s="512"/>
      <c r="AE104" s="181"/>
      <c r="AF104" s="176" t="str">
        <f>IF(Roster!$L$19=0,"",Roster!$L$19)</f>
        <v/>
      </c>
      <c r="AG104" s="291"/>
      <c r="AH104" s="521" t="str">
        <f>IF(Roster!$AA$19=0,"",Roster!$AA$19)</f>
        <v/>
      </c>
      <c r="AI104" s="522"/>
      <c r="AJ104" s="522"/>
      <c r="AK104" s="522"/>
      <c r="AL104" s="522"/>
      <c r="AM104" s="522"/>
      <c r="AN104" s="522"/>
      <c r="AO104" s="522"/>
      <c r="AP104" s="522"/>
      <c r="AQ104" s="522"/>
      <c r="AR104" s="523"/>
      <c r="AS104" s="512"/>
      <c r="AT104" s="181"/>
      <c r="AU104" s="176" t="str">
        <f>IF(Roster!$L$20=0,"",Roster!$L$20)</f>
        <v/>
      </c>
      <c r="AV104" s="291"/>
      <c r="AW104" s="521" t="str">
        <f>IF(Roster!$AA$20=0,"",Roster!$AA$20)</f>
        <v/>
      </c>
      <c r="AX104" s="522"/>
      <c r="AY104" s="522"/>
      <c r="AZ104" s="522"/>
      <c r="BA104" s="522"/>
      <c r="BB104" s="522"/>
      <c r="BC104" s="522"/>
      <c r="BD104" s="522"/>
      <c r="BE104" s="522"/>
      <c r="BF104" s="522"/>
      <c r="BG104" s="523"/>
      <c r="BH104" s="512"/>
      <c r="BI104" s="190"/>
    </row>
    <row r="105" spans="2:61" ht="11.25" customHeight="1" x14ac:dyDescent="0.2">
      <c r="B105" s="173" t="str">
        <f>IF(Roster!$M$1=0,"",Roster!$M$1)</f>
        <v>AG</v>
      </c>
      <c r="C105" s="174"/>
      <c r="D105" s="541"/>
      <c r="E105" s="542"/>
      <c r="F105" s="542"/>
      <c r="G105" s="542"/>
      <c r="H105" s="542"/>
      <c r="I105" s="542"/>
      <c r="J105" s="542"/>
      <c r="K105" s="542"/>
      <c r="L105" s="542"/>
      <c r="M105" s="542"/>
      <c r="N105" s="543"/>
      <c r="O105" s="169"/>
      <c r="Q105" s="173" t="str">
        <f>IF(Roster!$M$1=0,"",Roster!$M$1)</f>
        <v>AG</v>
      </c>
      <c r="R105" s="291"/>
      <c r="S105" s="524"/>
      <c r="T105" s="525"/>
      <c r="U105" s="525"/>
      <c r="V105" s="525"/>
      <c r="W105" s="525"/>
      <c r="X105" s="525"/>
      <c r="Y105" s="525"/>
      <c r="Z105" s="525"/>
      <c r="AA105" s="525"/>
      <c r="AB105" s="525"/>
      <c r="AC105" s="526"/>
      <c r="AD105" s="512"/>
      <c r="AE105" s="181"/>
      <c r="AF105" s="173" t="str">
        <f>IF(Roster!$M$1=0,"",Roster!$M$1)</f>
        <v>AG</v>
      </c>
      <c r="AG105" s="291"/>
      <c r="AH105" s="524"/>
      <c r="AI105" s="525"/>
      <c r="AJ105" s="525"/>
      <c r="AK105" s="525"/>
      <c r="AL105" s="525"/>
      <c r="AM105" s="525"/>
      <c r="AN105" s="525"/>
      <c r="AO105" s="525"/>
      <c r="AP105" s="525"/>
      <c r="AQ105" s="525"/>
      <c r="AR105" s="526"/>
      <c r="AS105" s="512"/>
      <c r="AT105" s="181"/>
      <c r="AU105" s="173" t="str">
        <f>IF(Roster!$M$1=0,"",Roster!$M$1)</f>
        <v>AG</v>
      </c>
      <c r="AV105" s="291"/>
      <c r="AW105" s="524"/>
      <c r="AX105" s="525"/>
      <c r="AY105" s="525"/>
      <c r="AZ105" s="525"/>
      <c r="BA105" s="525"/>
      <c r="BB105" s="525"/>
      <c r="BC105" s="525"/>
      <c r="BD105" s="525"/>
      <c r="BE105" s="525"/>
      <c r="BF105" s="525"/>
      <c r="BG105" s="526"/>
      <c r="BH105" s="512"/>
      <c r="BI105" s="190"/>
    </row>
    <row r="106" spans="2:61" ht="37.5" customHeight="1" x14ac:dyDescent="0.2">
      <c r="B106" s="176" t="str">
        <f>IF(Roster!$M$17=0&amp;"+","",Roster!$M$17)</f>
        <v/>
      </c>
      <c r="C106" s="174"/>
      <c r="D106" s="541"/>
      <c r="E106" s="542"/>
      <c r="F106" s="542"/>
      <c r="G106" s="542"/>
      <c r="H106" s="542"/>
      <c r="I106" s="542"/>
      <c r="J106" s="542"/>
      <c r="K106" s="542"/>
      <c r="L106" s="542"/>
      <c r="M106" s="542"/>
      <c r="N106" s="543"/>
      <c r="O106" s="169"/>
      <c r="Q106" s="176" t="str">
        <f>IF(Roster!$M$18=0,"",Roster!$M$18)</f>
        <v/>
      </c>
      <c r="R106" s="291"/>
      <c r="S106" s="524"/>
      <c r="T106" s="525"/>
      <c r="U106" s="525"/>
      <c r="V106" s="525"/>
      <c r="W106" s="525"/>
      <c r="X106" s="525"/>
      <c r="Y106" s="525"/>
      <c r="Z106" s="525"/>
      <c r="AA106" s="525"/>
      <c r="AB106" s="525"/>
      <c r="AC106" s="526"/>
      <c r="AD106" s="512"/>
      <c r="AE106" s="181"/>
      <c r="AF106" s="176" t="str">
        <f>IF(Roster!$M$19=0,"",Roster!$M$19)</f>
        <v/>
      </c>
      <c r="AG106" s="291"/>
      <c r="AH106" s="524"/>
      <c r="AI106" s="525"/>
      <c r="AJ106" s="525"/>
      <c r="AK106" s="525"/>
      <c r="AL106" s="525"/>
      <c r="AM106" s="525"/>
      <c r="AN106" s="525"/>
      <c r="AO106" s="525"/>
      <c r="AP106" s="525"/>
      <c r="AQ106" s="525"/>
      <c r="AR106" s="526"/>
      <c r="AS106" s="512"/>
      <c r="AT106" s="181"/>
      <c r="AU106" s="176" t="str">
        <f>IF(Roster!$M$20=0,"",Roster!$M$20)</f>
        <v/>
      </c>
      <c r="AV106" s="291"/>
      <c r="AW106" s="524"/>
      <c r="AX106" s="525"/>
      <c r="AY106" s="525"/>
      <c r="AZ106" s="525"/>
      <c r="BA106" s="525"/>
      <c r="BB106" s="525"/>
      <c r="BC106" s="525"/>
      <c r="BD106" s="525"/>
      <c r="BE106" s="525"/>
      <c r="BF106" s="525"/>
      <c r="BG106" s="526"/>
      <c r="BH106" s="512"/>
      <c r="BI106" s="190"/>
    </row>
    <row r="107" spans="2:61" ht="11.25" customHeight="1" x14ac:dyDescent="0.2">
      <c r="B107" s="173" t="str">
        <f>IF(Roster!$N$1=0,"",Roster!$N$1)</f>
        <v>PA</v>
      </c>
      <c r="C107" s="174"/>
      <c r="D107" s="541"/>
      <c r="E107" s="542"/>
      <c r="F107" s="542"/>
      <c r="G107" s="542"/>
      <c r="H107" s="542"/>
      <c r="I107" s="542"/>
      <c r="J107" s="542"/>
      <c r="K107" s="542"/>
      <c r="L107" s="542"/>
      <c r="M107" s="542"/>
      <c r="N107" s="543"/>
      <c r="O107" s="178"/>
      <c r="Q107" s="173" t="str">
        <f>IF(Roster!$N$1=0,"",Roster!$N$1)</f>
        <v>PA</v>
      </c>
      <c r="R107" s="291"/>
      <c r="S107" s="524"/>
      <c r="T107" s="525"/>
      <c r="U107" s="525"/>
      <c r="V107" s="525"/>
      <c r="W107" s="525"/>
      <c r="X107" s="525"/>
      <c r="Y107" s="525"/>
      <c r="Z107" s="525"/>
      <c r="AA107" s="525"/>
      <c r="AB107" s="525"/>
      <c r="AC107" s="526"/>
      <c r="AD107" s="512"/>
      <c r="AE107" s="181"/>
      <c r="AF107" s="173" t="str">
        <f>IF(Roster!$N$1=0,"",Roster!$N$1)</f>
        <v>PA</v>
      </c>
      <c r="AG107" s="291"/>
      <c r="AH107" s="524"/>
      <c r="AI107" s="525"/>
      <c r="AJ107" s="525"/>
      <c r="AK107" s="525"/>
      <c r="AL107" s="525"/>
      <c r="AM107" s="525"/>
      <c r="AN107" s="525"/>
      <c r="AO107" s="525"/>
      <c r="AP107" s="525"/>
      <c r="AQ107" s="525"/>
      <c r="AR107" s="526"/>
      <c r="AS107" s="512"/>
      <c r="AT107" s="181"/>
      <c r="AU107" s="173" t="str">
        <f>IF(Roster!$N$1=0,"",Roster!$N$1)</f>
        <v>PA</v>
      </c>
      <c r="AV107" s="291"/>
      <c r="AW107" s="524"/>
      <c r="AX107" s="525"/>
      <c r="AY107" s="525"/>
      <c r="AZ107" s="525"/>
      <c r="BA107" s="525"/>
      <c r="BB107" s="525"/>
      <c r="BC107" s="525"/>
      <c r="BD107" s="525"/>
      <c r="BE107" s="525"/>
      <c r="BF107" s="525"/>
      <c r="BG107" s="526"/>
      <c r="BH107" s="512"/>
      <c r="BI107" s="190"/>
    </row>
    <row r="108" spans="2:61" ht="6" customHeight="1" x14ac:dyDescent="0.2">
      <c r="B108" s="530" t="str">
        <f>IF(Roster!$N$17=0&amp;"+","",Roster!$N$17)</f>
        <v/>
      </c>
      <c r="C108" s="174"/>
      <c r="D108" s="544"/>
      <c r="E108" s="545"/>
      <c r="F108" s="545"/>
      <c r="G108" s="545"/>
      <c r="H108" s="545"/>
      <c r="I108" s="545"/>
      <c r="J108" s="545"/>
      <c r="K108" s="545"/>
      <c r="L108" s="545"/>
      <c r="M108" s="545"/>
      <c r="N108" s="546"/>
      <c r="O108" s="180"/>
      <c r="Q108" s="530" t="str">
        <f>IF(Roster!$N$18=0,"",Roster!$N$18)</f>
        <v/>
      </c>
      <c r="R108" s="291"/>
      <c r="S108" s="524"/>
      <c r="T108" s="525"/>
      <c r="U108" s="525"/>
      <c r="V108" s="525"/>
      <c r="W108" s="525"/>
      <c r="X108" s="525"/>
      <c r="Y108" s="525"/>
      <c r="Z108" s="525"/>
      <c r="AA108" s="525"/>
      <c r="AB108" s="525"/>
      <c r="AC108" s="526"/>
      <c r="AD108" s="512"/>
      <c r="AE108" s="181"/>
      <c r="AF108" s="530" t="str">
        <f>IF(Roster!$N$19=0,"",Roster!$N$19)</f>
        <v/>
      </c>
      <c r="AG108" s="291"/>
      <c r="AH108" s="524"/>
      <c r="AI108" s="525"/>
      <c r="AJ108" s="525"/>
      <c r="AK108" s="525"/>
      <c r="AL108" s="525"/>
      <c r="AM108" s="525"/>
      <c r="AN108" s="525"/>
      <c r="AO108" s="525"/>
      <c r="AP108" s="525"/>
      <c r="AQ108" s="525"/>
      <c r="AR108" s="526"/>
      <c r="AS108" s="512"/>
      <c r="AT108" s="181"/>
      <c r="AU108" s="530" t="str">
        <f>IF(Roster!$N$20=0,"",Roster!$N$20)</f>
        <v/>
      </c>
      <c r="AV108" s="291"/>
      <c r="AW108" s="524"/>
      <c r="AX108" s="525"/>
      <c r="AY108" s="525"/>
      <c r="AZ108" s="525"/>
      <c r="BA108" s="525"/>
      <c r="BB108" s="525"/>
      <c r="BC108" s="525"/>
      <c r="BD108" s="525"/>
      <c r="BE108" s="525"/>
      <c r="BF108" s="525"/>
      <c r="BG108" s="526"/>
      <c r="BH108" s="512"/>
      <c r="BI108" s="190"/>
    </row>
    <row r="109" spans="2:61" ht="4.5" customHeight="1" x14ac:dyDescent="0.2">
      <c r="B109" s="531"/>
      <c r="C109" s="172"/>
      <c r="D109" s="181"/>
      <c r="E109" s="179"/>
      <c r="F109" s="181"/>
      <c r="G109" s="179"/>
      <c r="H109" s="181"/>
      <c r="I109" s="179"/>
      <c r="J109" s="181"/>
      <c r="K109" s="179"/>
      <c r="L109" s="181"/>
      <c r="M109" s="179"/>
      <c r="N109" s="181"/>
      <c r="O109" s="180"/>
      <c r="Q109" s="531"/>
      <c r="R109" s="291"/>
      <c r="S109" s="524"/>
      <c r="T109" s="525"/>
      <c r="U109" s="525"/>
      <c r="V109" s="525"/>
      <c r="W109" s="525"/>
      <c r="X109" s="525"/>
      <c r="Y109" s="525"/>
      <c r="Z109" s="525"/>
      <c r="AA109" s="525"/>
      <c r="AB109" s="525"/>
      <c r="AC109" s="526"/>
      <c r="AD109" s="512"/>
      <c r="AE109" s="181"/>
      <c r="AF109" s="531"/>
      <c r="AG109" s="291"/>
      <c r="AH109" s="524"/>
      <c r="AI109" s="525"/>
      <c r="AJ109" s="525"/>
      <c r="AK109" s="525"/>
      <c r="AL109" s="525"/>
      <c r="AM109" s="525"/>
      <c r="AN109" s="525"/>
      <c r="AO109" s="525"/>
      <c r="AP109" s="525"/>
      <c r="AQ109" s="525"/>
      <c r="AR109" s="526"/>
      <c r="AS109" s="512"/>
      <c r="AT109" s="181"/>
      <c r="AU109" s="531"/>
      <c r="AV109" s="291"/>
      <c r="AW109" s="524"/>
      <c r="AX109" s="525"/>
      <c r="AY109" s="525"/>
      <c r="AZ109" s="525"/>
      <c r="BA109" s="525"/>
      <c r="BB109" s="525"/>
      <c r="BC109" s="525"/>
      <c r="BD109" s="525"/>
      <c r="BE109" s="525"/>
      <c r="BF109" s="525"/>
      <c r="BG109" s="526"/>
      <c r="BH109" s="512"/>
      <c r="BI109" s="190"/>
    </row>
    <row r="110" spans="2:61" ht="11.25" customHeight="1" x14ac:dyDescent="0.2">
      <c r="B110" s="531"/>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1"/>
      <c r="R110" s="291"/>
      <c r="S110" s="524"/>
      <c r="T110" s="525"/>
      <c r="U110" s="525"/>
      <c r="V110" s="525"/>
      <c r="W110" s="525"/>
      <c r="X110" s="525"/>
      <c r="Y110" s="525"/>
      <c r="Z110" s="525"/>
      <c r="AA110" s="525"/>
      <c r="AB110" s="525"/>
      <c r="AC110" s="526"/>
      <c r="AD110" s="512"/>
      <c r="AE110" s="181"/>
      <c r="AF110" s="531"/>
      <c r="AG110" s="291"/>
      <c r="AH110" s="524"/>
      <c r="AI110" s="525"/>
      <c r="AJ110" s="525"/>
      <c r="AK110" s="525"/>
      <c r="AL110" s="525"/>
      <c r="AM110" s="525"/>
      <c r="AN110" s="525"/>
      <c r="AO110" s="525"/>
      <c r="AP110" s="525"/>
      <c r="AQ110" s="525"/>
      <c r="AR110" s="526"/>
      <c r="AS110" s="512"/>
      <c r="AT110" s="181"/>
      <c r="AU110" s="531"/>
      <c r="AV110" s="291"/>
      <c r="AW110" s="524"/>
      <c r="AX110" s="525"/>
      <c r="AY110" s="525"/>
      <c r="AZ110" s="525"/>
      <c r="BA110" s="525"/>
      <c r="BB110" s="525"/>
      <c r="BC110" s="525"/>
      <c r="BD110" s="525"/>
      <c r="BE110" s="525"/>
      <c r="BF110" s="525"/>
      <c r="BG110" s="526"/>
      <c r="BH110" s="512"/>
      <c r="BI110" s="190"/>
    </row>
    <row r="111" spans="2:61" ht="15" customHeight="1" x14ac:dyDescent="0.2">
      <c r="B111" s="531"/>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1"/>
      <c r="R111" s="291"/>
      <c r="S111" s="527"/>
      <c r="T111" s="528"/>
      <c r="U111" s="528"/>
      <c r="V111" s="528"/>
      <c r="W111" s="528"/>
      <c r="X111" s="528"/>
      <c r="Y111" s="528"/>
      <c r="Z111" s="528"/>
      <c r="AA111" s="528"/>
      <c r="AB111" s="528"/>
      <c r="AC111" s="529"/>
      <c r="AD111" s="512"/>
      <c r="AE111" s="181"/>
      <c r="AF111" s="531"/>
      <c r="AG111" s="291"/>
      <c r="AH111" s="527"/>
      <c r="AI111" s="528"/>
      <c r="AJ111" s="528"/>
      <c r="AK111" s="528"/>
      <c r="AL111" s="528"/>
      <c r="AM111" s="528"/>
      <c r="AN111" s="528"/>
      <c r="AO111" s="528"/>
      <c r="AP111" s="528"/>
      <c r="AQ111" s="528"/>
      <c r="AR111" s="529"/>
      <c r="AS111" s="512"/>
      <c r="AT111" s="181"/>
      <c r="AU111" s="531"/>
      <c r="AV111" s="291"/>
      <c r="AW111" s="527"/>
      <c r="AX111" s="528"/>
      <c r="AY111" s="528"/>
      <c r="AZ111" s="528"/>
      <c r="BA111" s="528"/>
      <c r="BB111" s="528"/>
      <c r="BC111" s="528"/>
      <c r="BD111" s="528"/>
      <c r="BE111" s="528"/>
      <c r="BF111" s="528"/>
      <c r="BG111" s="529"/>
      <c r="BH111" s="512"/>
      <c r="BI111" s="190"/>
    </row>
    <row r="112" spans="2:61" ht="4.5" customHeight="1" x14ac:dyDescent="0.2">
      <c r="B112" s="336"/>
      <c r="C112" s="175"/>
      <c r="D112" s="208"/>
      <c r="E112" s="207"/>
      <c r="F112" s="208"/>
      <c r="G112" s="207"/>
      <c r="H112" s="208"/>
      <c r="I112" s="207"/>
      <c r="J112" s="208"/>
      <c r="K112" s="207"/>
      <c r="L112" s="208"/>
      <c r="M112" s="207"/>
      <c r="N112" s="208"/>
      <c r="O112" s="180"/>
      <c r="Q112" s="336"/>
      <c r="R112" s="291"/>
      <c r="S112" s="509"/>
      <c r="T112" s="301"/>
      <c r="U112" s="301"/>
      <c r="V112" s="301"/>
      <c r="W112" s="301"/>
      <c r="X112" s="301"/>
      <c r="Y112" s="301"/>
      <c r="Z112" s="301"/>
      <c r="AA112" s="301"/>
      <c r="AB112" s="301"/>
      <c r="AC112" s="370"/>
      <c r="AD112" s="512"/>
      <c r="AE112" s="181"/>
      <c r="AF112" s="336"/>
      <c r="AG112" s="291"/>
      <c r="AH112" s="509"/>
      <c r="AI112" s="301"/>
      <c r="AJ112" s="301"/>
      <c r="AK112" s="301"/>
      <c r="AL112" s="301"/>
      <c r="AM112" s="301"/>
      <c r="AN112" s="301"/>
      <c r="AO112" s="301"/>
      <c r="AP112" s="301"/>
      <c r="AQ112" s="301"/>
      <c r="AR112" s="370"/>
      <c r="AS112" s="512"/>
      <c r="AT112" s="181"/>
      <c r="AU112" s="336"/>
      <c r="AV112" s="291"/>
      <c r="AW112" s="509"/>
      <c r="AX112" s="301"/>
      <c r="AY112" s="301"/>
      <c r="AZ112" s="301"/>
      <c r="BA112" s="301"/>
      <c r="BB112" s="301"/>
      <c r="BC112" s="301"/>
      <c r="BD112" s="301"/>
      <c r="BE112" s="301"/>
      <c r="BF112" s="301"/>
      <c r="BG112" s="370"/>
      <c r="BH112" s="512"/>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1"/>
      <c r="S113" s="532" t="str">
        <f>IF(Roster!$K$25="Español","HABILIDADES Y RASGOS","SKILLS &amp; TRAITS")</f>
        <v>SKILLS &amp; TRAITS</v>
      </c>
      <c r="T113" s="304"/>
      <c r="U113" s="304"/>
      <c r="V113" s="304"/>
      <c r="W113" s="304"/>
      <c r="X113" s="304"/>
      <c r="Y113" s="304"/>
      <c r="Z113" s="304"/>
      <c r="AA113" s="304"/>
      <c r="AB113" s="304"/>
      <c r="AC113" s="533"/>
      <c r="AD113" s="512"/>
      <c r="AE113" s="181"/>
      <c r="AF113" s="173" t="str">
        <f>IF(Roster!$O$1=0,"",Roster!$O$1)</f>
        <v>AV</v>
      </c>
      <c r="AG113" s="291"/>
      <c r="AH113" s="532" t="str">
        <f>IF(Roster!$K$25="Español","HABILIDADES Y RASGOS","SKILLS &amp; TRAITS")</f>
        <v>SKILLS &amp; TRAITS</v>
      </c>
      <c r="AI113" s="304"/>
      <c r="AJ113" s="304"/>
      <c r="AK113" s="304"/>
      <c r="AL113" s="304"/>
      <c r="AM113" s="304"/>
      <c r="AN113" s="304"/>
      <c r="AO113" s="304"/>
      <c r="AP113" s="304"/>
      <c r="AQ113" s="304"/>
      <c r="AR113" s="533"/>
      <c r="AS113" s="512"/>
      <c r="AT113" s="181"/>
      <c r="AU113" s="173" t="str">
        <f>IF(Roster!$O$1=0,"",Roster!$O$1)</f>
        <v>AV</v>
      </c>
      <c r="AV113" s="291"/>
      <c r="AW113" s="532" t="str">
        <f>IF(Roster!$K$25="Italiano","ABILITÀ &amp; TRATTI",(IF(Roster!$K$25="Español","HABILIDADES Y RASGOS","SKILLS &amp; TRAITS")))</f>
        <v>SKILLS &amp; TRAITS</v>
      </c>
      <c r="AX113" s="304"/>
      <c r="AY113" s="304"/>
      <c r="AZ113" s="304"/>
      <c r="BA113" s="304"/>
      <c r="BB113" s="304"/>
      <c r="BC113" s="304"/>
      <c r="BD113" s="304"/>
      <c r="BE113" s="304"/>
      <c r="BF113" s="304"/>
      <c r="BG113" s="533"/>
      <c r="BH113" s="512"/>
      <c r="BI113" s="190"/>
    </row>
    <row r="114" spans="2:61" ht="15" customHeight="1" x14ac:dyDescent="0.2">
      <c r="B114" s="530"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30" t="str">
        <f>IF(Roster!$O$18=0,"",Roster!$O$18)</f>
        <v/>
      </c>
      <c r="R114" s="291"/>
      <c r="S114" s="521" t="str">
        <f>IF(Roster!$P$18=0,"",Roster!$P$18)</f>
        <v/>
      </c>
      <c r="T114" s="522"/>
      <c r="U114" s="522"/>
      <c r="V114" s="522"/>
      <c r="W114" s="522"/>
      <c r="X114" s="522"/>
      <c r="Y114" s="522"/>
      <c r="Z114" s="522"/>
      <c r="AA114" s="522"/>
      <c r="AB114" s="522"/>
      <c r="AC114" s="523"/>
      <c r="AD114" s="512"/>
      <c r="AE114" s="181"/>
      <c r="AF114" s="530" t="str">
        <f>IF(Roster!$O$19=0,"",Roster!$O$19)</f>
        <v/>
      </c>
      <c r="AG114" s="291"/>
      <c r="AH114" s="521" t="str">
        <f>IF(Roster!$P$19=0,"",Roster!$P$19)</f>
        <v/>
      </c>
      <c r="AI114" s="522"/>
      <c r="AJ114" s="522"/>
      <c r="AK114" s="522"/>
      <c r="AL114" s="522"/>
      <c r="AM114" s="522"/>
      <c r="AN114" s="522"/>
      <c r="AO114" s="522"/>
      <c r="AP114" s="522"/>
      <c r="AQ114" s="522"/>
      <c r="AR114" s="523"/>
      <c r="AS114" s="512"/>
      <c r="AT114" s="181"/>
      <c r="AU114" s="530" t="str">
        <f>IF(Roster!$O$20=0,"",Roster!$O$20)</f>
        <v/>
      </c>
      <c r="AV114" s="291"/>
      <c r="AW114" s="521" t="str">
        <f>IF(Roster!$P$20=0,"",Roster!$P$20)</f>
        <v/>
      </c>
      <c r="AX114" s="522"/>
      <c r="AY114" s="522"/>
      <c r="AZ114" s="522"/>
      <c r="BA114" s="522"/>
      <c r="BB114" s="522"/>
      <c r="BC114" s="522"/>
      <c r="BD114" s="522"/>
      <c r="BE114" s="522"/>
      <c r="BF114" s="522"/>
      <c r="BG114" s="523"/>
      <c r="BH114" s="512"/>
      <c r="BI114" s="190"/>
    </row>
    <row r="115" spans="2:61" ht="4.5" customHeight="1" x14ac:dyDescent="0.2">
      <c r="B115" s="531"/>
      <c r="C115" s="175"/>
      <c r="D115" s="207"/>
      <c r="E115" s="207"/>
      <c r="F115" s="207"/>
      <c r="G115" s="207"/>
      <c r="H115" s="207"/>
      <c r="I115" s="207"/>
      <c r="J115" s="207"/>
      <c r="K115" s="207"/>
      <c r="L115" s="207"/>
      <c r="M115" s="207"/>
      <c r="N115" s="210"/>
      <c r="O115" s="182"/>
      <c r="Q115" s="531"/>
      <c r="R115" s="291"/>
      <c r="S115" s="524"/>
      <c r="T115" s="525"/>
      <c r="U115" s="525"/>
      <c r="V115" s="525"/>
      <c r="W115" s="525"/>
      <c r="X115" s="525"/>
      <c r="Y115" s="525"/>
      <c r="Z115" s="525"/>
      <c r="AA115" s="525"/>
      <c r="AB115" s="525"/>
      <c r="AC115" s="526"/>
      <c r="AD115" s="512"/>
      <c r="AE115" s="181"/>
      <c r="AF115" s="531"/>
      <c r="AG115" s="291"/>
      <c r="AH115" s="524"/>
      <c r="AI115" s="525"/>
      <c r="AJ115" s="525"/>
      <c r="AK115" s="525"/>
      <c r="AL115" s="525"/>
      <c r="AM115" s="525"/>
      <c r="AN115" s="525"/>
      <c r="AO115" s="525"/>
      <c r="AP115" s="525"/>
      <c r="AQ115" s="525"/>
      <c r="AR115" s="526"/>
      <c r="AS115" s="512"/>
      <c r="AT115" s="181"/>
      <c r="AU115" s="531"/>
      <c r="AV115" s="291"/>
      <c r="AW115" s="524"/>
      <c r="AX115" s="525"/>
      <c r="AY115" s="525"/>
      <c r="AZ115" s="525"/>
      <c r="BA115" s="525"/>
      <c r="BB115" s="525"/>
      <c r="BC115" s="525"/>
      <c r="BD115" s="525"/>
      <c r="BE115" s="525"/>
      <c r="BF115" s="525"/>
      <c r="BG115" s="526"/>
      <c r="BH115" s="512"/>
      <c r="BI115" s="190"/>
    </row>
    <row r="116" spans="2:61" ht="11.25" customHeight="1" x14ac:dyDescent="0.2">
      <c r="B116" s="531"/>
      <c r="C116" s="175"/>
      <c r="D116" s="562" t="str">
        <f>IF(Roster!$K$25="Italiano","ABILITÀ &amp; TRATTI",(IF(Roster!$K$25="Español","HABILIDADES Y RASGOS","SKILLS &amp; TRAITS")))</f>
        <v>SKILLS &amp; TRAITS</v>
      </c>
      <c r="E116" s="563"/>
      <c r="F116" s="563"/>
      <c r="G116" s="563"/>
      <c r="H116" s="563"/>
      <c r="I116" s="563"/>
      <c r="J116" s="563"/>
      <c r="K116" s="563"/>
      <c r="L116" s="563"/>
      <c r="M116" s="563"/>
      <c r="N116" s="564"/>
      <c r="O116" s="182"/>
      <c r="Q116" s="531"/>
      <c r="R116" s="291"/>
      <c r="S116" s="524"/>
      <c r="T116" s="525"/>
      <c r="U116" s="525"/>
      <c r="V116" s="525"/>
      <c r="W116" s="525"/>
      <c r="X116" s="525"/>
      <c r="Y116" s="525"/>
      <c r="Z116" s="525"/>
      <c r="AA116" s="525"/>
      <c r="AB116" s="525"/>
      <c r="AC116" s="526"/>
      <c r="AD116" s="512"/>
      <c r="AE116" s="181"/>
      <c r="AF116" s="531"/>
      <c r="AG116" s="291"/>
      <c r="AH116" s="524"/>
      <c r="AI116" s="525"/>
      <c r="AJ116" s="525"/>
      <c r="AK116" s="525"/>
      <c r="AL116" s="525"/>
      <c r="AM116" s="525"/>
      <c r="AN116" s="525"/>
      <c r="AO116" s="525"/>
      <c r="AP116" s="525"/>
      <c r="AQ116" s="525"/>
      <c r="AR116" s="526"/>
      <c r="AS116" s="512"/>
      <c r="AT116" s="181"/>
      <c r="AU116" s="531"/>
      <c r="AV116" s="291"/>
      <c r="AW116" s="524"/>
      <c r="AX116" s="525"/>
      <c r="AY116" s="525"/>
      <c r="AZ116" s="525"/>
      <c r="BA116" s="525"/>
      <c r="BB116" s="525"/>
      <c r="BC116" s="525"/>
      <c r="BD116" s="525"/>
      <c r="BE116" s="525"/>
      <c r="BF116" s="525"/>
      <c r="BG116" s="526"/>
      <c r="BH116" s="512"/>
      <c r="BI116" s="190"/>
    </row>
    <row r="117" spans="2:61" ht="6.75" customHeight="1" x14ac:dyDescent="0.2">
      <c r="B117" s="336"/>
      <c r="C117" s="175"/>
      <c r="D117" s="565" t="str">
        <f>IF(Roster!$P$17=0&amp;AQ98,"",Roster!$P$17)</f>
        <v/>
      </c>
      <c r="E117" s="490"/>
      <c r="F117" s="490"/>
      <c r="G117" s="490"/>
      <c r="H117" s="490"/>
      <c r="I117" s="490"/>
      <c r="J117" s="490"/>
      <c r="K117" s="490"/>
      <c r="L117" s="490"/>
      <c r="M117" s="490"/>
      <c r="N117" s="566"/>
      <c r="O117" s="182"/>
      <c r="Q117" s="336"/>
      <c r="R117" s="291"/>
      <c r="S117" s="524"/>
      <c r="T117" s="525"/>
      <c r="U117" s="525"/>
      <c r="V117" s="525"/>
      <c r="W117" s="525"/>
      <c r="X117" s="525"/>
      <c r="Y117" s="525"/>
      <c r="Z117" s="525"/>
      <c r="AA117" s="525"/>
      <c r="AB117" s="525"/>
      <c r="AC117" s="526"/>
      <c r="AD117" s="512"/>
      <c r="AE117" s="181"/>
      <c r="AF117" s="336"/>
      <c r="AG117" s="291"/>
      <c r="AH117" s="524"/>
      <c r="AI117" s="525"/>
      <c r="AJ117" s="525"/>
      <c r="AK117" s="525"/>
      <c r="AL117" s="525"/>
      <c r="AM117" s="525"/>
      <c r="AN117" s="525"/>
      <c r="AO117" s="525"/>
      <c r="AP117" s="525"/>
      <c r="AQ117" s="525"/>
      <c r="AR117" s="526"/>
      <c r="AS117" s="512"/>
      <c r="AT117" s="181"/>
      <c r="AU117" s="336"/>
      <c r="AV117" s="291"/>
      <c r="AW117" s="524"/>
      <c r="AX117" s="525"/>
      <c r="AY117" s="525"/>
      <c r="AZ117" s="525"/>
      <c r="BA117" s="525"/>
      <c r="BB117" s="525"/>
      <c r="BC117" s="525"/>
      <c r="BD117" s="525"/>
      <c r="BE117" s="525"/>
      <c r="BF117" s="525"/>
      <c r="BG117" s="526"/>
      <c r="BH117" s="512"/>
      <c r="BI117" s="190"/>
    </row>
    <row r="118" spans="2:61" ht="11.25" customHeight="1" x14ac:dyDescent="0.2">
      <c r="B118" s="173" t="str">
        <f>IF(Roster!$AO$1=0,"",Roster!$AO$1)</f>
        <v>COST</v>
      </c>
      <c r="C118" s="174"/>
      <c r="D118" s="567"/>
      <c r="E118" s="568"/>
      <c r="F118" s="568"/>
      <c r="G118" s="568"/>
      <c r="H118" s="568"/>
      <c r="I118" s="568"/>
      <c r="J118" s="568"/>
      <c r="K118" s="568"/>
      <c r="L118" s="568"/>
      <c r="M118" s="568"/>
      <c r="N118" s="566"/>
      <c r="O118" s="185"/>
      <c r="Q118" s="173" t="str">
        <f>IF(Roster!$AO$1=0,"",Roster!$AO$1)</f>
        <v>COST</v>
      </c>
      <c r="R118" s="291"/>
      <c r="S118" s="524"/>
      <c r="T118" s="525"/>
      <c r="U118" s="525"/>
      <c r="V118" s="525"/>
      <c r="W118" s="525"/>
      <c r="X118" s="525"/>
      <c r="Y118" s="525"/>
      <c r="Z118" s="525"/>
      <c r="AA118" s="525"/>
      <c r="AB118" s="525"/>
      <c r="AC118" s="526"/>
      <c r="AD118" s="512"/>
      <c r="AE118" s="181"/>
      <c r="AF118" s="173" t="str">
        <f>IF(Roster!$AO$1=0,"",Roster!$AO$1)</f>
        <v>COST</v>
      </c>
      <c r="AG118" s="291"/>
      <c r="AH118" s="524"/>
      <c r="AI118" s="525"/>
      <c r="AJ118" s="525"/>
      <c r="AK118" s="525"/>
      <c r="AL118" s="525"/>
      <c r="AM118" s="525"/>
      <c r="AN118" s="525"/>
      <c r="AO118" s="525"/>
      <c r="AP118" s="525"/>
      <c r="AQ118" s="525"/>
      <c r="AR118" s="526"/>
      <c r="AS118" s="512"/>
      <c r="AT118" s="181"/>
      <c r="AU118" s="173" t="str">
        <f>IF(Roster!$AO$1=0,"",Roster!$AO$1)</f>
        <v>COST</v>
      </c>
      <c r="AV118" s="291"/>
      <c r="AW118" s="524"/>
      <c r="AX118" s="525"/>
      <c r="AY118" s="525"/>
      <c r="AZ118" s="525"/>
      <c r="BA118" s="525"/>
      <c r="BB118" s="525"/>
      <c r="BC118" s="525"/>
      <c r="BD118" s="525"/>
      <c r="BE118" s="525"/>
      <c r="BF118" s="525"/>
      <c r="BG118" s="526"/>
      <c r="BH118" s="512"/>
      <c r="BI118" s="190"/>
    </row>
    <row r="119" spans="2:61" ht="34.5" customHeight="1" x14ac:dyDescent="0.2">
      <c r="B119" s="187" t="str">
        <f>IF(Roster!$AO$17=0,"",Roster!$AO$17)</f>
        <v/>
      </c>
      <c r="C119" s="188"/>
      <c r="D119" s="569"/>
      <c r="E119" s="570"/>
      <c r="F119" s="570"/>
      <c r="G119" s="570"/>
      <c r="H119" s="570"/>
      <c r="I119" s="570"/>
      <c r="J119" s="570"/>
      <c r="K119" s="570"/>
      <c r="L119" s="570"/>
      <c r="M119" s="570"/>
      <c r="N119" s="571"/>
      <c r="O119" s="185"/>
      <c r="Q119" s="187" t="str">
        <f>IF(Roster!$AO$18=0,"",Roster!$AO$18)</f>
        <v/>
      </c>
      <c r="R119" s="451"/>
      <c r="S119" s="534"/>
      <c r="T119" s="535"/>
      <c r="U119" s="535"/>
      <c r="V119" s="535"/>
      <c r="W119" s="535"/>
      <c r="X119" s="535"/>
      <c r="Y119" s="535"/>
      <c r="Z119" s="535"/>
      <c r="AA119" s="535"/>
      <c r="AB119" s="535"/>
      <c r="AC119" s="536"/>
      <c r="AD119" s="513"/>
      <c r="AE119" s="181"/>
      <c r="AF119" s="187" t="str">
        <f>IF(Roster!$AO$19=0,"",Roster!$AO$19)</f>
        <v/>
      </c>
      <c r="AG119" s="451"/>
      <c r="AH119" s="534"/>
      <c r="AI119" s="535"/>
      <c r="AJ119" s="535"/>
      <c r="AK119" s="535"/>
      <c r="AL119" s="535"/>
      <c r="AM119" s="535"/>
      <c r="AN119" s="535"/>
      <c r="AO119" s="535"/>
      <c r="AP119" s="535"/>
      <c r="AQ119" s="535"/>
      <c r="AR119" s="536"/>
      <c r="AS119" s="513"/>
      <c r="AT119" s="181"/>
      <c r="AU119" s="187" t="str">
        <f>IF(Roster!$AO$20=0,"",Roster!$AO$20)</f>
        <v/>
      </c>
      <c r="AV119" s="451"/>
      <c r="AW119" s="534"/>
      <c r="AX119" s="535"/>
      <c r="AY119" s="535"/>
      <c r="AZ119" s="535"/>
      <c r="BA119" s="535"/>
      <c r="BB119" s="535"/>
      <c r="BC119" s="535"/>
      <c r="BD119" s="535"/>
      <c r="BE119" s="535"/>
      <c r="BF119" s="535"/>
      <c r="BG119" s="536"/>
      <c r="BH119" s="513"/>
      <c r="BI119" s="190"/>
    </row>
    <row r="120" spans="2:61" ht="4.5" customHeight="1" x14ac:dyDescent="0.2">
      <c r="B120" s="572"/>
      <c r="C120" s="333"/>
      <c r="D120" s="333"/>
      <c r="E120" s="333"/>
      <c r="F120" s="333"/>
      <c r="G120" s="333"/>
      <c r="H120" s="333"/>
      <c r="I120" s="333"/>
      <c r="J120" s="333"/>
      <c r="K120" s="333"/>
      <c r="L120" s="333"/>
      <c r="M120" s="333"/>
      <c r="N120" s="335"/>
      <c r="O120" s="189"/>
      <c r="Q120" s="574"/>
      <c r="R120" s="333"/>
      <c r="S120" s="333"/>
      <c r="T120" s="333"/>
      <c r="U120" s="333"/>
      <c r="V120" s="333"/>
      <c r="W120" s="333"/>
      <c r="X120" s="333"/>
      <c r="Y120" s="333"/>
      <c r="Z120" s="333"/>
      <c r="AA120" s="333"/>
      <c r="AB120" s="333"/>
      <c r="AC120" s="333"/>
      <c r="AD120" s="380"/>
      <c r="AE120" s="190"/>
      <c r="AF120" s="574"/>
      <c r="AG120" s="333"/>
      <c r="AH120" s="333"/>
      <c r="AI120" s="333"/>
      <c r="AJ120" s="333"/>
      <c r="AK120" s="333"/>
      <c r="AL120" s="333"/>
      <c r="AM120" s="333"/>
      <c r="AN120" s="333"/>
      <c r="AO120" s="333"/>
      <c r="AP120" s="333"/>
      <c r="AQ120" s="333"/>
      <c r="AR120" s="333"/>
      <c r="AS120" s="380"/>
      <c r="AT120" s="190"/>
      <c r="AU120" s="574"/>
      <c r="AV120" s="333"/>
      <c r="AW120" s="333"/>
      <c r="AX120" s="333"/>
      <c r="AY120" s="333"/>
      <c r="AZ120" s="333"/>
      <c r="BA120" s="333"/>
      <c r="BB120" s="333"/>
      <c r="BC120" s="333"/>
      <c r="BD120" s="333"/>
      <c r="BE120" s="333"/>
      <c r="BF120" s="333"/>
      <c r="BG120" s="333"/>
      <c r="BH120" s="380"/>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5"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2">
        <v>4</v>
      </c>
      <c r="N6" s="272">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2">
        <v>16</v>
      </c>
      <c r="N32" s="272">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2">
        <v>4</v>
      </c>
      <c r="N61" s="272">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2">
        <v>16</v>
      </c>
      <c r="N65" s="272">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2">
        <v>2</v>
      </c>
      <c r="N73" s="272">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2">
        <v>1</v>
      </c>
      <c r="N81" s="272">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5">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1"/>
      <c r="D121" s="8" t="str">
        <f t="shared" si="1"/>
        <v>Khorne</v>
      </c>
      <c r="E121" s="261">
        <v>0</v>
      </c>
      <c r="F121" s="261">
        <v>0</v>
      </c>
      <c r="G121" s="261">
        <v>0</v>
      </c>
      <c r="H121" s="261">
        <v>0</v>
      </c>
      <c r="I121" s="261">
        <v>0</v>
      </c>
      <c r="J121" s="8">
        <f>IF(Roster!$K$25="Español",V121,(IF(Roster!$K$25="Deutsch",W121,(IF(Roster!$K$25="Français",X121,U121)))))</f>
        <v>0</v>
      </c>
      <c r="K121" s="228">
        <v>0</v>
      </c>
      <c r="L121" s="7">
        <f t="shared" si="20"/>
        <v>0</v>
      </c>
      <c r="M121" s="228">
        <v>0</v>
      </c>
      <c r="N121" s="228">
        <v>0</v>
      </c>
      <c r="O121" s="276"/>
      <c r="P121" s="276"/>
      <c r="Q121" s="276"/>
      <c r="R121" s="276"/>
      <c r="S121" s="276"/>
      <c r="T121" s="13"/>
      <c r="U121" s="13"/>
      <c r="V121" s="13"/>
      <c r="W121" s="13"/>
      <c r="X121" s="13"/>
      <c r="Y121" s="262"/>
      <c r="Z121" s="13"/>
    </row>
    <row r="122" spans="1:26" ht="12.75" customHeight="1" x14ac:dyDescent="0.2">
      <c r="A122" s="8" t="s">
        <v>111</v>
      </c>
      <c r="B122" s="8" t="str">
        <f t="shared" si="28"/>
        <v>Khorne2</v>
      </c>
      <c r="C122" s="261" t="s">
        <v>544</v>
      </c>
      <c r="D122" s="8" t="str">
        <f t="shared" si="1"/>
        <v>KhorneBloodborn Marauder Lineman</v>
      </c>
      <c r="E122" s="261">
        <v>6</v>
      </c>
      <c r="F122" s="261">
        <v>3</v>
      </c>
      <c r="G122" s="261">
        <v>3</v>
      </c>
      <c r="H122" s="261">
        <v>4</v>
      </c>
      <c r="I122" s="261">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2"/>
      <c r="Z122" s="13"/>
    </row>
    <row r="123" spans="1:26" ht="12.75" customHeight="1" x14ac:dyDescent="0.2">
      <c r="A123" s="8" t="s">
        <v>111</v>
      </c>
      <c r="B123" s="8" t="str">
        <f t="shared" si="28"/>
        <v>Khorne3</v>
      </c>
      <c r="C123" s="261" t="s">
        <v>545</v>
      </c>
      <c r="D123" s="8" t="str">
        <f t="shared" si="1"/>
        <v>KhorneKhorngors</v>
      </c>
      <c r="E123" s="261">
        <v>6</v>
      </c>
      <c r="F123" s="261">
        <v>3</v>
      </c>
      <c r="G123" s="261">
        <v>3</v>
      </c>
      <c r="H123" s="261">
        <v>4</v>
      </c>
      <c r="I123" s="261">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2"/>
      <c r="Z123" s="13"/>
    </row>
    <row r="124" spans="1:26" ht="12.75" customHeight="1" x14ac:dyDescent="0.2">
      <c r="A124" s="8" t="s">
        <v>111</v>
      </c>
      <c r="B124" s="8" t="str">
        <f t="shared" si="28"/>
        <v>Khorne4</v>
      </c>
      <c r="C124" s="261" t="s">
        <v>550</v>
      </c>
      <c r="D124" s="8" t="str">
        <f t="shared" si="1"/>
        <v>KhorneBloodseekers</v>
      </c>
      <c r="E124" s="261">
        <v>5</v>
      </c>
      <c r="F124" s="261">
        <v>4</v>
      </c>
      <c r="G124" s="261">
        <v>4</v>
      </c>
      <c r="H124" s="261">
        <v>6</v>
      </c>
      <c r="I124" s="261">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2"/>
      <c r="Z124" s="13"/>
    </row>
    <row r="125" spans="1:26" ht="12.75" customHeight="1" x14ac:dyDescent="0.2">
      <c r="A125" s="8" t="s">
        <v>111</v>
      </c>
      <c r="B125" s="8" t="str">
        <f t="shared" si="28"/>
        <v>Khorne5</v>
      </c>
      <c r="C125" s="261" t="s">
        <v>551</v>
      </c>
      <c r="D125" s="8" t="str">
        <f t="shared" si="1"/>
        <v>KhorneBloodspawn</v>
      </c>
      <c r="E125" s="261">
        <v>5</v>
      </c>
      <c r="F125" s="261">
        <v>5</v>
      </c>
      <c r="G125" s="261">
        <v>4</v>
      </c>
      <c r="H125" s="261">
        <v>0</v>
      </c>
      <c r="I125" s="261">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2"/>
      <c r="Z125" s="13"/>
    </row>
    <row r="126" spans="1:26" ht="12.75" customHeight="1" x14ac:dyDescent="0.2">
      <c r="A126" s="8" t="s">
        <v>111</v>
      </c>
      <c r="B126" s="8" t="str">
        <f t="shared" si="28"/>
        <v>Khorne6</v>
      </c>
      <c r="C126" s="261" t="s">
        <v>556</v>
      </c>
      <c r="D126" s="8" t="str">
        <f t="shared" si="1"/>
        <v>KhorneJourney Bloodborn</v>
      </c>
      <c r="E126" s="261">
        <v>6</v>
      </c>
      <c r="F126" s="261">
        <v>3</v>
      </c>
      <c r="G126" s="261">
        <v>3</v>
      </c>
      <c r="H126" s="261">
        <v>4</v>
      </c>
      <c r="I126" s="261">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2"/>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2">
        <v>2</v>
      </c>
      <c r="N173" s="272">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7"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3" t="s">
        <v>858</v>
      </c>
      <c r="N1" s="273" t="s">
        <v>859</v>
      </c>
      <c r="O1" s="273" t="s">
        <v>860</v>
      </c>
      <c r="P1" s="273" t="s">
        <v>861</v>
      </c>
      <c r="Q1" s="273" t="s">
        <v>862</v>
      </c>
      <c r="R1" s="14"/>
      <c r="S1" s="273" t="s">
        <v>863</v>
      </c>
      <c r="T1" s="273" t="s">
        <v>864</v>
      </c>
      <c r="U1" s="273" t="s">
        <v>865</v>
      </c>
      <c r="V1" s="273" t="s">
        <v>866</v>
      </c>
      <c r="W1" s="273"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1" t="s">
        <v>869</v>
      </c>
      <c r="B4" s="261"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1" t="s">
        <v>881</v>
      </c>
      <c r="B5" s="261"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1" t="s">
        <v>893</v>
      </c>
      <c r="B6" s="261"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1" t="s">
        <v>902</v>
      </c>
      <c r="B7" s="261"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1" t="s">
        <v>914</v>
      </c>
      <c r="B8" s="261"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1" t="s">
        <v>921</v>
      </c>
      <c r="B9" s="261"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1" t="s">
        <v>932</v>
      </c>
      <c r="B10" s="261"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1" t="s">
        <v>943</v>
      </c>
      <c r="B11" s="261"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1" t="s">
        <v>954</v>
      </c>
      <c r="B12" s="261"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1" t="s">
        <v>964</v>
      </c>
      <c r="B13" s="261"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1" t="s">
        <v>974</v>
      </c>
      <c r="B14" s="261"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1" t="s">
        <v>984</v>
      </c>
      <c r="B15" s="261"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1" t="s">
        <v>994</v>
      </c>
      <c r="B16" s="261"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1" t="s">
        <v>1004</v>
      </c>
      <c r="B17" s="261"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1" t="s">
        <v>1014</v>
      </c>
      <c r="B18" s="261"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1" t="s">
        <v>1024</v>
      </c>
      <c r="B19" s="261"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1" t="s">
        <v>1033</v>
      </c>
      <c r="B20" s="261"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1" t="s">
        <v>1043</v>
      </c>
      <c r="B21" s="261"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1" t="s">
        <v>1053</v>
      </c>
      <c r="B22" s="261"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1" t="s">
        <v>1063</v>
      </c>
      <c r="B23" s="261"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1" t="s">
        <v>1073</v>
      </c>
      <c r="B24" s="261"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1" t="s">
        <v>1083</v>
      </c>
      <c r="B25" s="261"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1" t="s">
        <v>1094</v>
      </c>
      <c r="B26" s="261"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1" t="s">
        <v>1104</v>
      </c>
      <c r="B27" s="261"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1" t="s">
        <v>1110</v>
      </c>
      <c r="B28" s="261"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8" t="s">
        <v>1120</v>
      </c>
      <c r="B29" s="261"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1" t="s">
        <v>1130</v>
      </c>
      <c r="B30" s="261"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1" t="s">
        <v>1140</v>
      </c>
      <c r="B31" s="261"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1" t="s">
        <v>1150</v>
      </c>
      <c r="B32" s="261"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1" t="s">
        <v>1160</v>
      </c>
      <c r="B33" s="261" t="s">
        <v>1161</v>
      </c>
      <c r="C33" s="261">
        <v>6</v>
      </c>
      <c r="D33" s="261">
        <v>6</v>
      </c>
      <c r="E33" s="261" t="s">
        <v>904</v>
      </c>
      <c r="F33" s="261" t="s">
        <v>253</v>
      </c>
      <c r="G33" s="261"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1">
        <v>1</v>
      </c>
      <c r="L33" s="262"/>
      <c r="M33" s="263" t="s">
        <v>1162</v>
      </c>
      <c r="N33" s="263"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1" t="s">
        <v>1170</v>
      </c>
      <c r="B34" s="261" t="s">
        <v>1171</v>
      </c>
      <c r="C34" s="261">
        <v>5</v>
      </c>
      <c r="D34" s="261">
        <v>5</v>
      </c>
      <c r="E34" s="261" t="s">
        <v>904</v>
      </c>
      <c r="F34" s="261" t="s">
        <v>253</v>
      </c>
      <c r="G34" s="261"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1">
        <v>1</v>
      </c>
      <c r="L34" s="262"/>
      <c r="M34" s="263" t="s">
        <v>1172</v>
      </c>
      <c r="N34" s="263"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1" t="s">
        <v>1180</v>
      </c>
      <c r="B35" s="261" t="s">
        <v>1181</v>
      </c>
      <c r="C35" s="261">
        <v>5</v>
      </c>
      <c r="D35" s="261">
        <v>4</v>
      </c>
      <c r="E35" s="261" t="s">
        <v>904</v>
      </c>
      <c r="F35" s="261" t="s">
        <v>253</v>
      </c>
      <c r="G35" s="261"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1">
        <v>1</v>
      </c>
      <c r="L35" s="262"/>
      <c r="M35" s="263" t="s">
        <v>1182</v>
      </c>
      <c r="N35" s="263"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1"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1" t="s">
        <v>1682</v>
      </c>
      <c r="T37" s="231" t="s">
        <v>1683</v>
      </c>
      <c r="U37" s="231" t="s">
        <v>1685</v>
      </c>
      <c r="V37" s="231" t="s">
        <v>1684</v>
      </c>
      <c r="W37" s="9"/>
      <c r="X37" s="9"/>
      <c r="Y37" s="8"/>
      <c r="Z37" s="8"/>
      <c r="AA37" s="8"/>
      <c r="AB37" s="8"/>
      <c r="AC37" s="8"/>
      <c r="AD37" s="8"/>
      <c r="AE37" s="8"/>
      <c r="AF37" s="8"/>
      <c r="AG37" s="8"/>
      <c r="AH37" s="8"/>
    </row>
    <row r="38" spans="1:34" ht="12.75" customHeight="1" x14ac:dyDescent="0.2">
      <c r="A38" s="261" t="s">
        <v>1350</v>
      </c>
      <c r="B38" s="261" t="s">
        <v>1351</v>
      </c>
      <c r="C38" s="261">
        <v>4</v>
      </c>
      <c r="D38" s="261">
        <v>7</v>
      </c>
      <c r="E38" s="261" t="s">
        <v>883</v>
      </c>
      <c r="F38" s="261" t="s">
        <v>253</v>
      </c>
      <c r="G38" s="261"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1">
        <v>1</v>
      </c>
      <c r="L38" s="262"/>
      <c r="M38" s="263"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1" t="s">
        <v>1361</v>
      </c>
      <c r="B39" s="261" t="s">
        <v>1362</v>
      </c>
      <c r="C39" s="261">
        <v>6</v>
      </c>
      <c r="D39" s="261">
        <v>2</v>
      </c>
      <c r="E39" s="261" t="s">
        <v>883</v>
      </c>
      <c r="F39" s="261" t="s">
        <v>883</v>
      </c>
      <c r="G39" s="261"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1">
        <v>1</v>
      </c>
      <c r="L39" s="262"/>
      <c r="M39" s="263" t="s">
        <v>1363</v>
      </c>
      <c r="N39" s="263"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1" t="s">
        <v>1394</v>
      </c>
      <c r="B40" s="261" t="s">
        <v>1397</v>
      </c>
      <c r="C40" s="261">
        <v>6</v>
      </c>
      <c r="D40" s="261">
        <v>4</v>
      </c>
      <c r="E40" s="261" t="s">
        <v>883</v>
      </c>
      <c r="F40" s="261" t="s">
        <v>904</v>
      </c>
      <c r="G40" s="261"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1">
        <v>1</v>
      </c>
      <c r="L40" s="262"/>
      <c r="M40" s="263" t="s">
        <v>1398</v>
      </c>
      <c r="N40" s="263"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1" t="s">
        <v>1395</v>
      </c>
      <c r="B41" s="261" t="s">
        <v>1407</v>
      </c>
      <c r="C41" s="261">
        <v>5</v>
      </c>
      <c r="D41" s="261">
        <v>5</v>
      </c>
      <c r="E41" s="261" t="s">
        <v>904</v>
      </c>
      <c r="F41" s="261" t="s">
        <v>253</v>
      </c>
      <c r="G41" s="261"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1">
        <v>1</v>
      </c>
      <c r="L41" s="262"/>
      <c r="M41" s="263" t="s">
        <v>1408</v>
      </c>
      <c r="N41" s="263"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1" t="s">
        <v>1396</v>
      </c>
      <c r="B42" s="261" t="s">
        <v>1413</v>
      </c>
      <c r="C42" s="261">
        <v>6</v>
      </c>
      <c r="D42" s="261">
        <v>3</v>
      </c>
      <c r="E42" s="261" t="s">
        <v>904</v>
      </c>
      <c r="F42" s="261" t="s">
        <v>883</v>
      </c>
      <c r="G42" s="261"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1">
        <v>1</v>
      </c>
      <c r="L42" s="262"/>
      <c r="M42" s="263" t="s">
        <v>1414</v>
      </c>
      <c r="N42" s="263"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1" t="s">
        <v>1450</v>
      </c>
      <c r="B43" s="261" t="s">
        <v>1453</v>
      </c>
      <c r="C43" s="261">
        <v>6</v>
      </c>
      <c r="D43" s="261">
        <v>3</v>
      </c>
      <c r="E43" s="261" t="s">
        <v>883</v>
      </c>
      <c r="F43" s="261" t="s">
        <v>904</v>
      </c>
      <c r="G43" s="261"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1">
        <v>1</v>
      </c>
      <c r="L43" s="262"/>
      <c r="M43" s="263" t="s">
        <v>1454</v>
      </c>
      <c r="N43" s="263"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1" t="s">
        <v>1451</v>
      </c>
      <c r="B44" s="261" t="s">
        <v>1463</v>
      </c>
      <c r="C44" s="261">
        <v>6</v>
      </c>
      <c r="D44" s="261">
        <v>6</v>
      </c>
      <c r="E44" s="261" t="s">
        <v>923</v>
      </c>
      <c r="F44" s="261" t="s">
        <v>253</v>
      </c>
      <c r="G44" s="261"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1">
        <v>1</v>
      </c>
      <c r="L44" s="262"/>
      <c r="M44" s="263" t="s">
        <v>1470</v>
      </c>
      <c r="N44" s="263"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1" t="s">
        <v>1452</v>
      </c>
      <c r="B45" s="261" t="s">
        <v>1464</v>
      </c>
      <c r="C45" s="261">
        <v>6</v>
      </c>
      <c r="D45" s="261">
        <v>3</v>
      </c>
      <c r="E45" s="261" t="s">
        <v>883</v>
      </c>
      <c r="F45" s="261" t="s">
        <v>904</v>
      </c>
      <c r="G45" s="261"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1">
        <v>1</v>
      </c>
      <c r="L45" s="262"/>
      <c r="M45" s="263" t="s">
        <v>1465</v>
      </c>
      <c r="N45" s="263"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1" t="s">
        <v>1494</v>
      </c>
      <c r="B46" s="261" t="s">
        <v>1502</v>
      </c>
      <c r="C46" s="261">
        <v>5</v>
      </c>
      <c r="D46" s="261">
        <v>3</v>
      </c>
      <c r="E46" s="261" t="s">
        <v>883</v>
      </c>
      <c r="F46" s="261" t="s">
        <v>904</v>
      </c>
      <c r="G46" s="261"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1">
        <v>1</v>
      </c>
      <c r="L46" s="262"/>
      <c r="M46" s="263" t="s">
        <v>1503</v>
      </c>
      <c r="N46" s="263"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1" t="s">
        <v>1495</v>
      </c>
      <c r="B47" s="261" t="s">
        <v>1505</v>
      </c>
      <c r="C47" s="261">
        <v>5</v>
      </c>
      <c r="D47" s="261">
        <v>2</v>
      </c>
      <c r="E47" s="261" t="s">
        <v>883</v>
      </c>
      <c r="F47" s="261" t="s">
        <v>883</v>
      </c>
      <c r="G47" s="261"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1">
        <v>1</v>
      </c>
      <c r="L47" s="262"/>
      <c r="M47" s="263" t="s">
        <v>1506</v>
      </c>
      <c r="N47" s="263"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1" t="s">
        <v>1496</v>
      </c>
      <c r="B48" s="261" t="s">
        <v>1508</v>
      </c>
      <c r="C48" s="261">
        <v>8</v>
      </c>
      <c r="D48" s="261">
        <v>2</v>
      </c>
      <c r="E48" s="261" t="s">
        <v>883</v>
      </c>
      <c r="F48" s="261">
        <v>4</v>
      </c>
      <c r="G48" s="261"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1">
        <v>1</v>
      </c>
      <c r="L48" s="262"/>
      <c r="M48" s="263" t="s">
        <v>1510</v>
      </c>
      <c r="N48" s="263"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1" t="s">
        <v>1497</v>
      </c>
      <c r="B49" s="261" t="s">
        <v>1509</v>
      </c>
      <c r="C49" s="261">
        <v>8</v>
      </c>
      <c r="D49" s="261">
        <v>2</v>
      </c>
      <c r="E49" s="261" t="s">
        <v>883</v>
      </c>
      <c r="F49" s="261" t="s">
        <v>904</v>
      </c>
      <c r="G49" s="261"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1">
        <v>1</v>
      </c>
      <c r="L49" s="262"/>
      <c r="M49" s="263" t="s">
        <v>1510</v>
      </c>
      <c r="N49" s="263"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1" t="s">
        <v>1498</v>
      </c>
      <c r="B50" s="261" t="s">
        <v>1513</v>
      </c>
      <c r="C50" s="261">
        <v>4</v>
      </c>
      <c r="D50" s="261">
        <v>5</v>
      </c>
      <c r="E50" s="261" t="s">
        <v>904</v>
      </c>
      <c r="F50" s="261" t="s">
        <v>872</v>
      </c>
      <c r="G50" s="261"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1">
        <v>1</v>
      </c>
      <c r="L50" s="262"/>
      <c r="M50" s="263" t="s">
        <v>1514</v>
      </c>
      <c r="N50" s="263"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1" t="s">
        <v>1499</v>
      </c>
      <c r="B51" s="261" t="s">
        <v>1516</v>
      </c>
      <c r="C51" s="261">
        <v>4</v>
      </c>
      <c r="D51" s="261">
        <v>6</v>
      </c>
      <c r="E51" s="261" t="s">
        <v>923</v>
      </c>
      <c r="F51" s="261" t="s">
        <v>904</v>
      </c>
      <c r="G51" s="261"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1">
        <v>1</v>
      </c>
      <c r="L51" s="262"/>
      <c r="M51" s="263" t="s">
        <v>1517</v>
      </c>
      <c r="N51" s="263"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1" t="s">
        <v>1500</v>
      </c>
      <c r="B52" s="261" t="s">
        <v>1519</v>
      </c>
      <c r="C52" s="261">
        <v>6</v>
      </c>
      <c r="D52" s="261">
        <v>2</v>
      </c>
      <c r="E52" s="261" t="s">
        <v>883</v>
      </c>
      <c r="F52" s="261" t="s">
        <v>253</v>
      </c>
      <c r="G52" s="261"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1">
        <v>1</v>
      </c>
      <c r="L52" s="262"/>
      <c r="M52" s="263" t="s">
        <v>1520</v>
      </c>
      <c r="N52" s="263"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1" t="s">
        <v>1501</v>
      </c>
      <c r="B53" s="261" t="s">
        <v>1522</v>
      </c>
      <c r="C53" s="261">
        <v>7</v>
      </c>
      <c r="D53" s="261">
        <v>2</v>
      </c>
      <c r="E53" s="261" t="s">
        <v>883</v>
      </c>
      <c r="F53" s="261" t="s">
        <v>923</v>
      </c>
      <c r="G53" s="261"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1">
        <v>1</v>
      </c>
      <c r="L53" s="262"/>
      <c r="M53" s="263" t="s">
        <v>1523</v>
      </c>
      <c r="N53" s="263"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1" t="s">
        <v>1525</v>
      </c>
      <c r="B54" s="261" t="s">
        <v>1526</v>
      </c>
      <c r="C54" s="261">
        <v>6</v>
      </c>
      <c r="D54" s="261">
        <v>3</v>
      </c>
      <c r="E54" s="261" t="s">
        <v>904</v>
      </c>
      <c r="F54" s="261" t="s">
        <v>904</v>
      </c>
      <c r="G54" s="261"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1">
        <v>1</v>
      </c>
      <c r="L54" s="262"/>
      <c r="M54" s="263" t="s">
        <v>1527</v>
      </c>
      <c r="N54" s="263"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1" t="s">
        <v>1623</v>
      </c>
      <c r="B55" s="261" t="s">
        <v>1624</v>
      </c>
      <c r="C55" s="261">
        <v>6</v>
      </c>
      <c r="D55" s="261">
        <v>5</v>
      </c>
      <c r="E55" s="261" t="s">
        <v>871</v>
      </c>
      <c r="F55" s="261" t="s">
        <v>883</v>
      </c>
      <c r="G55" s="261"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1">
        <v>1</v>
      </c>
      <c r="L55" s="262"/>
      <c r="M55" s="263" t="s">
        <v>1625</v>
      </c>
      <c r="N55" s="263"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1" t="s">
        <v>1634</v>
      </c>
      <c r="B56" s="274" t="s">
        <v>1635</v>
      </c>
      <c r="C56" s="261">
        <v>7</v>
      </c>
      <c r="D56" s="261">
        <v>4</v>
      </c>
      <c r="E56" s="261" t="s">
        <v>871</v>
      </c>
      <c r="F56" s="261" t="s">
        <v>904</v>
      </c>
      <c r="G56" s="261"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1">
        <v>1</v>
      </c>
      <c r="L56" s="262"/>
      <c r="M56" s="263" t="s">
        <v>1636</v>
      </c>
      <c r="N56" s="263"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1" t="s">
        <v>1645</v>
      </c>
      <c r="B57" s="261" t="s">
        <v>1646</v>
      </c>
      <c r="C57" s="261">
        <v>6</v>
      </c>
      <c r="D57" s="261">
        <v>4</v>
      </c>
      <c r="E57" s="261" t="s">
        <v>904</v>
      </c>
      <c r="F57" s="261" t="s">
        <v>923</v>
      </c>
      <c r="G57" s="261"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1">
        <v>1</v>
      </c>
      <c r="L57" s="262"/>
      <c r="M57" s="263" t="s">
        <v>1647</v>
      </c>
      <c r="N57" s="263"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1" t="s">
        <v>1686</v>
      </c>
      <c r="B58" s="261" t="s">
        <v>1687</v>
      </c>
      <c r="C58" s="261">
        <v>9</v>
      </c>
      <c r="D58" s="261">
        <v>2</v>
      </c>
      <c r="E58" s="261" t="s">
        <v>871</v>
      </c>
      <c r="F58" s="261" t="s">
        <v>904</v>
      </c>
      <c r="G58" s="261"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1">
        <v>1</v>
      </c>
      <c r="L58" s="262"/>
      <c r="M58" s="263" t="s">
        <v>1688</v>
      </c>
      <c r="N58" s="263"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1" t="s">
        <v>1721</v>
      </c>
      <c r="B59" s="261" t="s">
        <v>1723</v>
      </c>
      <c r="C59" s="261">
        <v>6</v>
      </c>
      <c r="D59" s="261">
        <v>2</v>
      </c>
      <c r="E59" s="261" t="s">
        <v>883</v>
      </c>
      <c r="F59" s="261" t="s">
        <v>904</v>
      </c>
      <c r="G59" s="261"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1">
        <v>1</v>
      </c>
      <c r="L59" s="262"/>
      <c r="M59" s="263" t="s">
        <v>1724</v>
      </c>
      <c r="N59" s="263"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1" t="s">
        <v>1722</v>
      </c>
      <c r="B60" s="261" t="s">
        <v>1726</v>
      </c>
      <c r="C60" s="261">
        <v>6</v>
      </c>
      <c r="D60" s="261">
        <v>3</v>
      </c>
      <c r="E60" s="261" t="s">
        <v>883</v>
      </c>
      <c r="F60" s="261" t="s">
        <v>904</v>
      </c>
      <c r="G60" s="261"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1">
        <v>1</v>
      </c>
      <c r="L60" s="262"/>
      <c r="M60" s="263" t="s">
        <v>1727</v>
      </c>
      <c r="N60" s="263"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1" t="s">
        <v>1788</v>
      </c>
      <c r="B61" s="261" t="s">
        <v>1789</v>
      </c>
      <c r="C61" s="261">
        <v>6</v>
      </c>
      <c r="D61" s="261">
        <v>6</v>
      </c>
      <c r="E61" s="261" t="s">
        <v>883</v>
      </c>
      <c r="F61" s="261" t="s">
        <v>904</v>
      </c>
      <c r="G61" s="261"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1">
        <v>1</v>
      </c>
      <c r="L61" s="262"/>
      <c r="M61" s="263" t="s">
        <v>1791</v>
      </c>
      <c r="N61" s="263"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1" t="s">
        <v>1799</v>
      </c>
      <c r="B62" s="261" t="s">
        <v>1800</v>
      </c>
      <c r="C62" s="261">
        <v>7</v>
      </c>
      <c r="D62" s="261">
        <v>3</v>
      </c>
      <c r="E62" s="261" t="s">
        <v>883</v>
      </c>
      <c r="F62" s="261" t="s">
        <v>923</v>
      </c>
      <c r="G62" s="261"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1">
        <v>1</v>
      </c>
      <c r="L62" s="262"/>
      <c r="M62" s="263" t="s">
        <v>1802</v>
      </c>
      <c r="N62" s="263"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1" t="s">
        <v>1810</v>
      </c>
      <c r="B63" s="261" t="s">
        <v>1811</v>
      </c>
      <c r="C63" s="261">
        <v>4</v>
      </c>
      <c r="D63" s="261">
        <v>4</v>
      </c>
      <c r="E63" s="261" t="s">
        <v>904</v>
      </c>
      <c r="F63" s="261" t="s">
        <v>883</v>
      </c>
      <c r="G63" s="261"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1">
        <v>1</v>
      </c>
      <c r="L63" s="262"/>
      <c r="M63" s="263" t="s">
        <v>1813</v>
      </c>
      <c r="N63" s="263"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1" t="str">
        <f t="shared" ref="C69:E69" si="1">IF(C70=1,C71,"")</f>
        <v/>
      </c>
      <c r="D69" s="261" t="str">
        <f t="shared" si="1"/>
        <v>ABM</v>
      </c>
      <c r="E69" s="261" t="str">
        <f t="shared" si="1"/>
        <v/>
      </c>
      <c r="F69" s="261" t="str">
        <f>IF(F70=1,F71,"")</f>
        <v>AAA</v>
      </c>
      <c r="G69" s="261" t="str">
        <f>IF(G70=1,G71,"")</f>
        <v>ABL</v>
      </c>
      <c r="H69" s="261" t="str">
        <f t="shared" ref="H69:BN69" si="2">IF(H70=1,H71,"")</f>
        <v/>
      </c>
      <c r="I69" s="261" t="str">
        <f t="shared" si="2"/>
        <v>ACB</v>
      </c>
      <c r="J69" s="261" t="str">
        <f t="shared" si="2"/>
        <v/>
      </c>
      <c r="K69" s="261" t="str">
        <f t="shared" si="2"/>
        <v>ACC</v>
      </c>
      <c r="L69" s="261" t="str">
        <f t="shared" si="2"/>
        <v/>
      </c>
      <c r="M69" s="261" t="str">
        <f t="shared" si="2"/>
        <v>ACL</v>
      </c>
      <c r="N69" s="261" t="str">
        <f t="shared" si="2"/>
        <v>ACM</v>
      </c>
      <c r="O69" s="261" t="str">
        <f t="shared" si="2"/>
        <v/>
      </c>
      <c r="P69" s="261" t="str">
        <f t="shared" si="2"/>
        <v>AAB</v>
      </c>
      <c r="Q69" s="261" t="str">
        <f t="shared" si="2"/>
        <v/>
      </c>
      <c r="R69" s="261" t="str">
        <f t="shared" si="2"/>
        <v/>
      </c>
      <c r="S69" s="261" t="str">
        <f t="shared" si="2"/>
        <v/>
      </c>
      <c r="T69" s="261" t="str">
        <f t="shared" si="2"/>
        <v/>
      </c>
      <c r="U69" s="261" t="str">
        <f t="shared" si="2"/>
        <v/>
      </c>
      <c r="V69" s="261" t="str">
        <f t="shared" si="2"/>
        <v/>
      </c>
      <c r="W69" s="261" t="str">
        <f t="shared" si="2"/>
        <v>ABJ</v>
      </c>
      <c r="X69" s="261" t="str">
        <f t="shared" si="2"/>
        <v/>
      </c>
      <c r="Y69" s="261" t="str">
        <f t="shared" si="2"/>
        <v>ACD</v>
      </c>
      <c r="Z69" s="261" t="str">
        <f t="shared" si="2"/>
        <v/>
      </c>
      <c r="AA69" s="261" t="str">
        <f t="shared" si="2"/>
        <v/>
      </c>
      <c r="AB69" s="261" t="str">
        <f t="shared" si="2"/>
        <v/>
      </c>
      <c r="AC69" s="261" t="str">
        <f t="shared" si="2"/>
        <v/>
      </c>
      <c r="AD69" s="261" t="str">
        <f t="shared" si="2"/>
        <v/>
      </c>
      <c r="AE69" s="261" t="str">
        <f t="shared" si="2"/>
        <v>AAI</v>
      </c>
      <c r="AF69" s="261" t="str">
        <f t="shared" si="2"/>
        <v/>
      </c>
      <c r="AG69" s="261" t="str">
        <f t="shared" si="2"/>
        <v/>
      </c>
      <c r="AH69" s="261" t="str">
        <f t="shared" si="2"/>
        <v/>
      </c>
      <c r="AI69" s="261" t="str">
        <f t="shared" si="2"/>
        <v>AAH</v>
      </c>
      <c r="AJ69" s="261" t="str">
        <f t="shared" si="2"/>
        <v/>
      </c>
      <c r="AK69" s="261" t="str">
        <f t="shared" si="2"/>
        <v/>
      </c>
      <c r="AL69" s="261" t="str">
        <f t="shared" si="2"/>
        <v/>
      </c>
      <c r="AM69" s="261" t="str">
        <f t="shared" si="2"/>
        <v/>
      </c>
      <c r="AN69" s="261" t="str">
        <f t="shared" si="2"/>
        <v>AAC</v>
      </c>
      <c r="AO69" s="261" t="str">
        <f t="shared" si="2"/>
        <v/>
      </c>
      <c r="AP69" s="261" t="str">
        <f t="shared" si="2"/>
        <v/>
      </c>
      <c r="AQ69" s="261" t="str">
        <f t="shared" si="2"/>
        <v/>
      </c>
      <c r="AR69" s="261" t="str">
        <f t="shared" si="2"/>
        <v/>
      </c>
      <c r="AS69" s="261" t="str">
        <f t="shared" si="2"/>
        <v/>
      </c>
      <c r="AT69" s="261" t="str">
        <f t="shared" si="2"/>
        <v/>
      </c>
      <c r="AU69" s="261" t="str">
        <f t="shared" si="2"/>
        <v/>
      </c>
      <c r="AV69" s="261" t="str">
        <f t="shared" si="2"/>
        <v/>
      </c>
      <c r="AW69" s="261" t="str">
        <f t="shared" si="2"/>
        <v>AAD</v>
      </c>
      <c r="AX69" s="261" t="str">
        <f t="shared" si="2"/>
        <v>AAE</v>
      </c>
      <c r="AY69" s="261" t="str">
        <f t="shared" si="2"/>
        <v/>
      </c>
      <c r="AZ69" s="261" t="str">
        <f t="shared" si="2"/>
        <v>ABB</v>
      </c>
      <c r="BA69" s="261" t="str">
        <f t="shared" si="2"/>
        <v/>
      </c>
      <c r="BB69" s="261" t="str">
        <f t="shared" si="2"/>
        <v/>
      </c>
      <c r="BC69" s="261" t="str">
        <f t="shared" si="2"/>
        <v/>
      </c>
      <c r="BD69" s="261" t="str">
        <f t="shared" si="2"/>
        <v/>
      </c>
      <c r="BE69" s="261" t="str">
        <f t="shared" si="2"/>
        <v>AAF</v>
      </c>
      <c r="BF69" s="261" t="str">
        <f t="shared" si="2"/>
        <v>ACK</v>
      </c>
      <c r="BG69" s="261" t="str">
        <f t="shared" si="2"/>
        <v/>
      </c>
      <c r="BH69" s="261" t="str">
        <f t="shared" si="2"/>
        <v/>
      </c>
      <c r="BI69" s="261" t="str">
        <f t="shared" si="2"/>
        <v/>
      </c>
      <c r="BJ69" s="261" t="str">
        <f>IF(BJ70=1,BJ71,"")</f>
        <v>AAG</v>
      </c>
      <c r="BK69" s="261" t="str">
        <f t="shared" si="2"/>
        <v>BBB</v>
      </c>
      <c r="BL69" s="261" t="str">
        <f t="shared" si="2"/>
        <v>CCC</v>
      </c>
      <c r="BM69" s="261" t="str">
        <f t="shared" si="2"/>
        <v>DDD</v>
      </c>
      <c r="BN69" s="261" t="str">
        <f t="shared" si="2"/>
        <v>EEE</v>
      </c>
    </row>
    <row r="70" spans="1:66" ht="12.75" customHeight="1" x14ac:dyDescent="0.2">
      <c r="B70" s="197" t="str">
        <f>Roster!$BV$2</f>
        <v>BadlandsBrawlFavouredofHashut</v>
      </c>
      <c r="C70" s="261">
        <f>VLOOKUP($B$70,$B$73:$BP$89,2,FALSE)</f>
        <v>0</v>
      </c>
      <c r="D70" s="261">
        <f>VLOOKUP($B$70,$B$73:$BP$89,3,FALSE)</f>
        <v>1</v>
      </c>
      <c r="E70" s="261">
        <f>VLOOKUP($B$70,$B$73:$BP$89,4,FALSE)</f>
        <v>0</v>
      </c>
      <c r="F70" s="261">
        <f>VLOOKUP($B$70,$B$73:$BP$89,5,FALSE)</f>
        <v>1</v>
      </c>
      <c r="G70" s="261">
        <f>VLOOKUP($B$70,$B$73:$BP$89,6,FALSE)</f>
        <v>1</v>
      </c>
      <c r="H70" s="261">
        <f>VLOOKUP($B$70,$B$73:$BP$89,7,FALSE)</f>
        <v>0</v>
      </c>
      <c r="I70" s="261">
        <f>VLOOKUP($B$70,$B$73:$BP$89,8,FALSE)</f>
        <v>1</v>
      </c>
      <c r="J70" s="261">
        <f>VLOOKUP($B$70,$B$73:$BP$89,9,FALSE)</f>
        <v>0</v>
      </c>
      <c r="K70" s="261">
        <f>VLOOKUP($B$70,$B$73:$BP$89,10,FALSE)</f>
        <v>1</v>
      </c>
      <c r="L70" s="261">
        <f>VLOOKUP($B$70,$B$73:$BP$89,11,FALSE)</f>
        <v>0</v>
      </c>
      <c r="M70" s="261">
        <f>VLOOKUP($B$70,$B$73:$BP$89,12,FALSE)</f>
        <v>1</v>
      </c>
      <c r="N70" s="261">
        <f>VLOOKUP($B$70,$B$73:$BP$89,13,FALSE)</f>
        <v>1</v>
      </c>
      <c r="O70" s="261">
        <f>VLOOKUP($B$70,$B$73:$BP$89,14,FALSE)</f>
        <v>0</v>
      </c>
      <c r="P70" s="261">
        <f>VLOOKUP($B$70,$B$73:$BP$89,15,FALSE)</f>
        <v>1</v>
      </c>
      <c r="Q70" s="261">
        <f>VLOOKUP($B$70,$B$73:$BP$89,16,FALSE)</f>
        <v>0</v>
      </c>
      <c r="R70" s="261">
        <f>VLOOKUP($B$70,$B$73:$BP$89,17,FALSE)</f>
        <v>0</v>
      </c>
      <c r="S70" s="261">
        <f>VLOOKUP($B$70,$B$73:$BP$89,18,FALSE)</f>
        <v>0</v>
      </c>
      <c r="T70" s="261">
        <f>VLOOKUP($B$70,$B$73:$BP$89,19,FALSE)</f>
        <v>0</v>
      </c>
      <c r="U70" s="261">
        <f>VLOOKUP($B$70,$B$73:$BP$89,20,FALSE)</f>
        <v>0</v>
      </c>
      <c r="V70" s="261">
        <f>VLOOKUP($B$70,$B$73:$BP$89,21,FALSE)</f>
        <v>0</v>
      </c>
      <c r="W70" s="261">
        <f>VLOOKUP($B$70,$B$73:$BP$89,22,FALSE)</f>
        <v>1</v>
      </c>
      <c r="X70" s="261">
        <f>VLOOKUP($B$70,$B$73:$BP$89,23,FALSE)</f>
        <v>0</v>
      </c>
      <c r="Y70" s="261">
        <f>VLOOKUP($B$70,$B$73:$BP$89,24,FALSE)</f>
        <v>1</v>
      </c>
      <c r="Z70" s="261">
        <f>VLOOKUP($B$70,$B$73:$BP$89,25,FALSE)</f>
        <v>0</v>
      </c>
      <c r="AA70" s="261">
        <f>VLOOKUP($B$70,$B$73:$BP$89,26,FALSE)</f>
        <v>0</v>
      </c>
      <c r="AB70" s="261">
        <f>VLOOKUP($B$70,$B$73:$BP$89,27,FALSE)</f>
        <v>0</v>
      </c>
      <c r="AC70" s="261">
        <f>VLOOKUP($B$70,$B$73:$BP$89,28,FALSE)</f>
        <v>0</v>
      </c>
      <c r="AD70" s="261">
        <f>VLOOKUP($B$70,$B$73:$BP$89,29,FALSE)</f>
        <v>0</v>
      </c>
      <c r="AE70" s="261">
        <f>VLOOKUP($B$70,$B$73:$BP$89,30,FALSE)</f>
        <v>1</v>
      </c>
      <c r="AF70" s="261">
        <f>VLOOKUP($B$70,$B$73:$BP$89,31,FALSE)</f>
        <v>0</v>
      </c>
      <c r="AG70" s="261">
        <f>VLOOKUP($B$70,$B$73:$BP$89,32,FALSE)</f>
        <v>0</v>
      </c>
      <c r="AH70" s="261">
        <f>VLOOKUP($B$70,$B$73:$BP$89,33,FALSE)</f>
        <v>0</v>
      </c>
      <c r="AI70" s="261">
        <f>VLOOKUP($B$70,$B$73:$BP$89,34,FALSE)</f>
        <v>1</v>
      </c>
      <c r="AJ70" s="261">
        <f>VLOOKUP($B$70,$B$73:$BP$89,35,FALSE)</f>
        <v>0</v>
      </c>
      <c r="AK70" s="261">
        <f>VLOOKUP($B$70,$B$73:$BP$89,36,FALSE)</f>
        <v>0</v>
      </c>
      <c r="AL70" s="261">
        <f>VLOOKUP($B$70,$B$73:$BP$89,37,FALSE)</f>
        <v>0</v>
      </c>
      <c r="AM70" s="261">
        <f>VLOOKUP($B$70,$B$73:$BP$89,38,FALSE)</f>
        <v>0</v>
      </c>
      <c r="AN70" s="261">
        <f>VLOOKUP($B$70,$B$73:$BP$89,39,FALSE)</f>
        <v>1</v>
      </c>
      <c r="AO70" s="261">
        <f>VLOOKUP($B$70,$B$73:$BP$89,40,FALSE)</f>
        <v>0</v>
      </c>
      <c r="AP70" s="261">
        <f>VLOOKUP($B$70,$B$73:$BP$89,41,FALSE)</f>
        <v>0</v>
      </c>
      <c r="AQ70" s="261">
        <f>VLOOKUP($B$70,$B$73:$BP$89,42,FALSE)</f>
        <v>0</v>
      </c>
      <c r="AR70" s="261">
        <f>VLOOKUP($B$70,$B$73:$BP$89,43,FALSE)</f>
        <v>0</v>
      </c>
      <c r="AS70" s="261">
        <f>VLOOKUP($B$70,$B$73:$BP$89,44,FALSE)</f>
        <v>0</v>
      </c>
      <c r="AT70" s="261">
        <f>VLOOKUP($B$70,$B$73:$BP$89,45,FALSE)</f>
        <v>0</v>
      </c>
      <c r="AU70" s="261">
        <f>VLOOKUP($B$70,$B$73:$BP$89,46,FALSE)</f>
        <v>0</v>
      </c>
      <c r="AV70" s="261">
        <f>VLOOKUP($B$70,$B$73:$BP$89,47,FALSE)</f>
        <v>0</v>
      </c>
      <c r="AW70" s="261">
        <f>VLOOKUP($B$70,$B$73:$BP$89,48,FALSE)</f>
        <v>1</v>
      </c>
      <c r="AX70" s="261">
        <f>VLOOKUP($B$70,$B$73:$BP$89,49,FALSE)</f>
        <v>1</v>
      </c>
      <c r="AY70" s="261">
        <f>VLOOKUP($B$70,$B$73:$BP$89,50,FALSE)</f>
        <v>0</v>
      </c>
      <c r="AZ70" s="261">
        <f>VLOOKUP($B$70,$B$73:$BP$89,51,FALSE)</f>
        <v>1</v>
      </c>
      <c r="BA70" s="261">
        <f>VLOOKUP($B$70,$B$73:$BP$89,52,FALSE)</f>
        <v>0</v>
      </c>
      <c r="BB70" s="261">
        <f>VLOOKUP($B$70,$B$73:$BP$89,53,FALSE)</f>
        <v>0</v>
      </c>
      <c r="BC70" s="261">
        <f>VLOOKUP($B$70,$B$73:$BP$89,54,FALSE)</f>
        <v>0</v>
      </c>
      <c r="BD70" s="261">
        <f>VLOOKUP($B$70,$B$73:$BP$89,55,FALSE)</f>
        <v>0</v>
      </c>
      <c r="BE70" s="261">
        <f>VLOOKUP($B$70,$B$73:$BP$89,56,FALSE)</f>
        <v>1</v>
      </c>
      <c r="BF70" s="261">
        <f>VLOOKUP($B$70,$B$73:$BP$89,57,FALSE)</f>
        <v>1</v>
      </c>
      <c r="BG70" s="261">
        <f>VLOOKUP($B$70,$B$73:$BP$89,58,FALSE)</f>
        <v>0</v>
      </c>
      <c r="BH70" s="261">
        <f>VLOOKUP($B$70,$B$73:$BP$89,59,FALSE)</f>
        <v>0</v>
      </c>
      <c r="BI70" s="261">
        <f>VLOOKUP($B$70,$B$73:$BP$89,60,FALSE)</f>
        <v>0</v>
      </c>
      <c r="BJ70" s="261">
        <f>VLOOKUP($B$70,$B$73:$BP$89,61,FALSE)</f>
        <v>1</v>
      </c>
      <c r="BK70" s="261">
        <f>VLOOKUP($B$70,$B$73:$BP$89,62,FALSE)</f>
        <v>1</v>
      </c>
      <c r="BL70" s="261">
        <f>VLOOKUP($B$70,$B$73:$BP$89,63,FALSE)</f>
        <v>1</v>
      </c>
      <c r="BM70" s="261">
        <f>VLOOKUP($B$70,$B$73:$BP$89,64,FALSE)</f>
        <v>1</v>
      </c>
      <c r="BN70" s="261">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1" t="s">
        <v>1328</v>
      </c>
      <c r="X71" s="261" t="s">
        <v>1396</v>
      </c>
      <c r="Y71" s="261" t="s">
        <v>1525</v>
      </c>
      <c r="Z71" s="261"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1" t="s">
        <v>1687</v>
      </c>
      <c r="U72" s="8" t="s">
        <v>1726</v>
      </c>
      <c r="V72" s="8" t="s">
        <v>965</v>
      </c>
      <c r="W72" s="261" t="s">
        <v>1335</v>
      </c>
      <c r="X72" s="261" t="s">
        <v>1413</v>
      </c>
      <c r="Y72" s="261" t="s">
        <v>1526</v>
      </c>
      <c r="Z72" s="261"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4" t="s">
        <v>1131</v>
      </c>
      <c r="AN72" s="8" t="s">
        <v>894</v>
      </c>
      <c r="AO72" s="8" t="s">
        <v>1064</v>
      </c>
      <c r="AP72" s="8" t="s">
        <v>1074</v>
      </c>
      <c r="AQ72" s="8" t="s">
        <v>1635</v>
      </c>
      <c r="AR72" s="261" t="s">
        <v>1161</v>
      </c>
      <c r="AS72" s="8" t="s">
        <v>1025</v>
      </c>
      <c r="AT72" s="8" t="s">
        <v>1397</v>
      </c>
      <c r="AU72" s="8" t="s">
        <v>1516</v>
      </c>
      <c r="AV72" s="8" t="s">
        <v>1407</v>
      </c>
      <c r="AW72" s="8" t="s">
        <v>903</v>
      </c>
      <c r="AX72" s="8" t="s">
        <v>915</v>
      </c>
      <c r="AY72" s="8" t="s">
        <v>1141</v>
      </c>
      <c r="AZ72" s="8" t="s">
        <v>1111</v>
      </c>
      <c r="BA72" s="8" t="s">
        <v>1463</v>
      </c>
      <c r="BB72" s="261"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ABMAAAABLACBACCACLACMAABABJACDAAIAAHAACAADAAEABBAAFACKAAGBBBCCCDDDEEE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ABM</v>
      </c>
      <c r="C92" s="197" t="str">
        <f>IFERROR((VLOOKUP(B92,$A$4:$B$67,2,FALSE))," ")</f>
        <v>Bomber Dribblesnot</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Bomber Dribblesnot</v>
      </c>
      <c r="AA92" s="197"/>
      <c r="AB92" s="197"/>
      <c r="AC92" s="197"/>
      <c r="AD92" s="197"/>
      <c r="AE92" s="197"/>
      <c r="AF92" s="197"/>
      <c r="AG92" s="197"/>
      <c r="AH92" s="197"/>
    </row>
    <row r="93" spans="2:66" ht="12.75" customHeight="1" x14ac:dyDescent="0.2">
      <c r="B93" s="197" t="str">
        <f>MID($B$91,4,3)</f>
        <v>AAA</v>
      </c>
      <c r="C93" s="197" t="str">
        <f>IFERROR((VLOOKUP(B93,$A$4:$B$67,2,FALSE))," ")</f>
        <v>Akhorne the Squirrel</v>
      </c>
      <c r="D93" s="197"/>
      <c r="E93" s="197" t="s">
        <v>1362</v>
      </c>
      <c r="F93" s="197" t="s">
        <v>1362</v>
      </c>
      <c r="G93" s="197" t="s">
        <v>870</v>
      </c>
      <c r="H93" s="197" t="s">
        <v>870</v>
      </c>
      <c r="I93" s="197" t="s">
        <v>870</v>
      </c>
      <c r="J93" s="197" t="s">
        <v>870</v>
      </c>
      <c r="K93" s="261"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Akhorne the Squirrel</v>
      </c>
      <c r="AA93" s="197"/>
      <c r="AB93" s="197"/>
      <c r="AC93" s="197"/>
      <c r="AD93" s="197"/>
      <c r="AE93" s="197"/>
      <c r="AF93" s="197"/>
      <c r="AG93" s="197"/>
      <c r="AH93" s="197"/>
    </row>
    <row r="94" spans="2:66" ht="12.75" customHeight="1" x14ac:dyDescent="0.2">
      <c r="B94" s="197" t="str">
        <f>MID($B$91,7,3)</f>
        <v>ABL</v>
      </c>
      <c r="C94" s="197" t="str">
        <f t="shared" ref="C94:C130" si="5">IFERROR((VLOOKUP(B94,$A$4:$B$67,2,FALSE))," ")</f>
        <v>Fungus the Loon</v>
      </c>
      <c r="D94" s="197"/>
      <c r="E94" s="197" t="s">
        <v>870</v>
      </c>
      <c r="F94" s="197" t="s">
        <v>870</v>
      </c>
      <c r="G94" s="197" t="s">
        <v>1337</v>
      </c>
      <c r="H94" s="197" t="s">
        <v>1337</v>
      </c>
      <c r="I94" s="197" t="s">
        <v>1337</v>
      </c>
      <c r="J94" s="197" t="s">
        <v>882</v>
      </c>
      <c r="K94" s="261"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Fungus the Loon</v>
      </c>
      <c r="AA94" s="197"/>
      <c r="AB94" s="197"/>
      <c r="AC94" s="197"/>
      <c r="AD94" s="197"/>
      <c r="AE94" s="197"/>
      <c r="AF94" s="197"/>
      <c r="AG94" s="197"/>
      <c r="AH94" s="197"/>
    </row>
    <row r="95" spans="2:66" ht="12.75" customHeight="1" x14ac:dyDescent="0.2">
      <c r="B95" s="197" t="str">
        <f>MID($B$91,10,3)</f>
        <v>ACB</v>
      </c>
      <c r="C95" s="197" t="str">
        <f t="shared" si="5"/>
        <v>Nobbla Blackwart</v>
      </c>
      <c r="D95" s="264"/>
      <c r="E95" s="197" t="s">
        <v>1351</v>
      </c>
      <c r="F95" s="197" t="s">
        <v>1351</v>
      </c>
      <c r="G95" s="197" t="s">
        <v>882</v>
      </c>
      <c r="H95" s="197" t="s">
        <v>882</v>
      </c>
      <c r="I95" s="197" t="s">
        <v>882</v>
      </c>
      <c r="J95" s="197" t="s">
        <v>1044</v>
      </c>
      <c r="K95" s="261"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Nobbla Blackwart</v>
      </c>
      <c r="AA95" s="197"/>
      <c r="AB95" s="197"/>
      <c r="AC95" s="197"/>
      <c r="AD95" s="197"/>
      <c r="AE95" s="197"/>
      <c r="AF95" s="197"/>
      <c r="AG95" s="197"/>
      <c r="AH95" s="197"/>
    </row>
    <row r="96" spans="2:66" ht="12.75" customHeight="1" x14ac:dyDescent="0.2">
      <c r="B96" s="197" t="str">
        <f>MID($B$91,13,3)</f>
        <v>ACC</v>
      </c>
      <c r="C96" s="197" t="str">
        <f t="shared" si="5"/>
        <v>Scrappa Sorehead</v>
      </c>
      <c r="D96" s="264"/>
      <c r="E96" s="197" t="s">
        <v>882</v>
      </c>
      <c r="F96" s="197" t="s">
        <v>882</v>
      </c>
      <c r="G96" s="197" t="s">
        <v>965</v>
      </c>
      <c r="H96" s="197" t="s">
        <v>965</v>
      </c>
      <c r="I96" s="197" t="s">
        <v>1034</v>
      </c>
      <c r="J96" s="197" t="s">
        <v>1054</v>
      </c>
      <c r="K96" s="261"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Scrappa Sorehead</v>
      </c>
      <c r="AA96" s="197"/>
      <c r="AB96" s="197"/>
      <c r="AC96" s="197"/>
      <c r="AD96" s="197"/>
      <c r="AE96" s="197"/>
      <c r="AF96" s="197"/>
      <c r="AG96" s="197"/>
      <c r="AH96" s="197"/>
    </row>
    <row r="97" spans="2:34" ht="12.75" customHeight="1" x14ac:dyDescent="0.2">
      <c r="B97" s="197" t="str">
        <f>MID($B$91,16,3)</f>
        <v>ACL</v>
      </c>
      <c r="C97" s="197" t="str">
        <f t="shared" si="5"/>
        <v>Rashnak Backstabber</v>
      </c>
      <c r="D97" s="197"/>
      <c r="E97" s="197" t="s">
        <v>894</v>
      </c>
      <c r="F97" s="197" t="s">
        <v>1335</v>
      </c>
      <c r="G97" s="197" t="s">
        <v>1413</v>
      </c>
      <c r="H97" s="197" t="s">
        <v>1413</v>
      </c>
      <c r="I97" s="197" t="s">
        <v>965</v>
      </c>
      <c r="J97" s="197" t="s">
        <v>1064</v>
      </c>
      <c r="K97" s="261"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Rashnak Backstabber</v>
      </c>
      <c r="AA97" s="197"/>
      <c r="AB97" s="197"/>
      <c r="AC97" s="197"/>
      <c r="AD97" s="197"/>
      <c r="AE97" s="197"/>
      <c r="AF97" s="197"/>
      <c r="AG97" s="197"/>
      <c r="AH97" s="197"/>
    </row>
    <row r="98" spans="2:34" ht="12.75" customHeight="1" x14ac:dyDescent="0.2">
      <c r="B98" s="197" t="str">
        <f>MID($B$91,19,3)</f>
        <v>ACM</v>
      </c>
      <c r="C98" s="197" t="str">
        <f t="shared" si="5"/>
        <v>Zzharg Madeye</v>
      </c>
      <c r="D98" s="197"/>
      <c r="E98" s="197" t="s">
        <v>903</v>
      </c>
      <c r="F98" s="197" t="s">
        <v>955</v>
      </c>
      <c r="G98" s="197" t="s">
        <v>975</v>
      </c>
      <c r="H98" s="197" t="s">
        <v>975</v>
      </c>
      <c r="I98" s="197" t="s">
        <v>975</v>
      </c>
      <c r="J98" s="197" t="s">
        <v>1074</v>
      </c>
      <c r="K98" s="261"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Zzharg Madeye</v>
      </c>
      <c r="AA98" s="197"/>
      <c r="AB98" s="197"/>
      <c r="AC98" s="197"/>
      <c r="AD98" s="197"/>
      <c r="AE98" s="197"/>
      <c r="AF98" s="197"/>
      <c r="AG98" s="197"/>
      <c r="AH98" s="197"/>
    </row>
    <row r="99" spans="2:34" ht="12.75" customHeight="1" x14ac:dyDescent="0.2">
      <c r="B99" s="197" t="str">
        <f>MID($B$91,22,3)</f>
        <v>AAB</v>
      </c>
      <c r="C99" s="197" t="str">
        <f t="shared" si="5"/>
        <v>Helmut Wulf</v>
      </c>
      <c r="D99" s="197"/>
      <c r="E99" s="197" t="s">
        <v>915</v>
      </c>
      <c r="F99" s="197" t="s">
        <v>944</v>
      </c>
      <c r="G99" s="197" t="s">
        <v>985</v>
      </c>
      <c r="H99" s="197" t="s">
        <v>985</v>
      </c>
      <c r="I99" s="197" t="s">
        <v>903</v>
      </c>
      <c r="J99" s="197" t="s">
        <v>903</v>
      </c>
      <c r="K99" s="261"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Helmut Wulf</v>
      </c>
      <c r="AA99" s="197"/>
      <c r="AB99" s="197"/>
      <c r="AC99" s="197"/>
      <c r="AD99" s="197"/>
      <c r="AE99" s="197"/>
      <c r="AF99" s="197"/>
      <c r="AG99" s="197"/>
      <c r="AH99" s="197"/>
    </row>
    <row r="100" spans="2:34" ht="12.75" customHeight="1" x14ac:dyDescent="0.2">
      <c r="B100" s="197" t="str">
        <f>MID($B$91,25,3)</f>
        <v>ABJ</v>
      </c>
      <c r="C100" s="197" t="str">
        <f t="shared" si="5"/>
        <v>Kreek 'The Verminator' Rustgouger</v>
      </c>
      <c r="D100" s="197"/>
      <c r="E100" s="197" t="s">
        <v>922</v>
      </c>
      <c r="F100" s="197" t="s">
        <v>894</v>
      </c>
      <c r="G100" s="197" t="s">
        <v>995</v>
      </c>
      <c r="H100" s="197" t="s">
        <v>995</v>
      </c>
      <c r="I100" s="197" t="s">
        <v>915</v>
      </c>
      <c r="J100" s="197" t="s">
        <v>915</v>
      </c>
      <c r="K100" s="261"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Kreek 'The Verminator' Rustgouger</v>
      </c>
      <c r="AA100" s="197"/>
      <c r="AB100" s="197"/>
      <c r="AC100" s="197"/>
      <c r="AD100" s="197"/>
      <c r="AE100" s="197"/>
      <c r="AF100" s="197"/>
      <c r="AG100" s="197"/>
      <c r="AH100" s="197"/>
    </row>
    <row r="101" spans="2:34" ht="12.75" customHeight="1" x14ac:dyDescent="0.2">
      <c r="B101" s="197" t="str">
        <f>MID($B$91,28,3)</f>
        <v>ACD</v>
      </c>
      <c r="C101" s="197" t="str">
        <f>IFERROR((VLOOKUP(B101,$A$4:$B$67,2,FALSE))," ")</f>
        <v>Withergrasp Doubledrool</v>
      </c>
      <c r="D101" s="197"/>
      <c r="E101" s="197" t="s">
        <v>933</v>
      </c>
      <c r="F101" s="197" t="s">
        <v>903</v>
      </c>
      <c r="G101" s="197" t="s">
        <v>1151</v>
      </c>
      <c r="H101" s="197" t="s">
        <v>1151</v>
      </c>
      <c r="I101" s="197" t="s">
        <v>933</v>
      </c>
      <c r="J101" s="197" t="s">
        <v>1084</v>
      </c>
      <c r="K101" s="261"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Withergrasp Doubledrool</v>
      </c>
      <c r="AA101" s="197"/>
      <c r="AB101" s="197"/>
      <c r="AC101" s="197"/>
      <c r="AD101" s="197"/>
      <c r="AE101" s="197"/>
      <c r="AF101" s="197"/>
      <c r="AG101" s="197"/>
      <c r="AH101" s="197"/>
    </row>
    <row r="102" spans="2:34" ht="12.75" customHeight="1" x14ac:dyDescent="0.2">
      <c r="B102" s="197" t="str">
        <f>MID($B$91,31,3)</f>
        <v>AAI</v>
      </c>
      <c r="C102" s="197" t="str">
        <f t="shared" si="5"/>
        <v>Glart Smashrip</v>
      </c>
      <c r="D102" s="197"/>
      <c r="E102" s="197" t="str">
        <f t="shared" ref="E102:R112" si="6">""</f>
        <v/>
      </c>
      <c r="F102" s="197" t="s">
        <v>915</v>
      </c>
      <c r="G102" s="197" t="s">
        <v>1025</v>
      </c>
      <c r="H102" s="197" t="s">
        <v>1025</v>
      </c>
      <c r="I102" s="197" t="str">
        <f t="shared" ref="I102:Q109" si="7">""</f>
        <v/>
      </c>
      <c r="J102" s="197" t="s">
        <v>1095</v>
      </c>
      <c r="K102" s="261"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Glart Smashrip</v>
      </c>
      <c r="AA102" s="197"/>
      <c r="AB102" s="197"/>
      <c r="AC102" s="197"/>
      <c r="AD102" s="197"/>
      <c r="AE102" s="197"/>
      <c r="AF102" s="197"/>
      <c r="AG102" s="197"/>
      <c r="AH102" s="197"/>
    </row>
    <row r="103" spans="2:34" ht="12.75" customHeight="1" x14ac:dyDescent="0.2">
      <c r="B103" s="197" t="str">
        <f>MID($B$91,34,3)</f>
        <v>AAH</v>
      </c>
      <c r="C103" s="197" t="str">
        <f t="shared" si="5"/>
        <v>Hakflem Skuttlespike</v>
      </c>
      <c r="D103" s="197"/>
      <c r="E103" s="197" t="str">
        <f t="shared" si="6"/>
        <v/>
      </c>
      <c r="F103" s="197" t="s">
        <v>922</v>
      </c>
      <c r="G103" s="197" t="s">
        <v>1397</v>
      </c>
      <c r="H103" s="197" t="s">
        <v>1397</v>
      </c>
      <c r="I103" s="197" t="str">
        <f t="shared" si="7"/>
        <v/>
      </c>
      <c r="J103" s="197" t="s">
        <v>1105</v>
      </c>
      <c r="K103" s="261"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Hakflem Skuttlespike</v>
      </c>
      <c r="AA103" s="197"/>
      <c r="AB103" s="197"/>
      <c r="AC103" s="197"/>
      <c r="AD103" s="197"/>
      <c r="AE103" s="197"/>
      <c r="AF103" s="197"/>
      <c r="AG103" s="197"/>
      <c r="AH103" s="197"/>
    </row>
    <row r="104" spans="2:34" ht="12.75" customHeight="1" x14ac:dyDescent="0.2">
      <c r="B104" s="197" t="str">
        <f>MID($B$91,37,3)</f>
        <v>AAC</v>
      </c>
      <c r="C104" s="197" t="str">
        <f t="shared" si="5"/>
        <v>The Black Gobbo</v>
      </c>
      <c r="D104" s="197"/>
      <c r="E104" s="197" t="str">
        <f t="shared" si="6"/>
        <v/>
      </c>
      <c r="F104" s="197" t="s">
        <v>933</v>
      </c>
      <c r="G104" s="197" t="s">
        <v>1407</v>
      </c>
      <c r="H104" s="197" t="s">
        <v>1407</v>
      </c>
      <c r="I104" s="197" t="str">
        <f t="shared" si="7"/>
        <v/>
      </c>
      <c r="J104" s="197" t="s">
        <v>933</v>
      </c>
      <c r="K104" s="261"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The Black Gobbo</v>
      </c>
      <c r="AA104" s="197"/>
      <c r="AB104" s="197"/>
      <c r="AC104" s="197"/>
      <c r="AD104" s="197"/>
      <c r="AE104" s="197"/>
      <c r="AF104" s="197"/>
      <c r="AG104" s="197"/>
      <c r="AH104" s="197"/>
    </row>
    <row r="105" spans="2:34" ht="12.75" customHeight="1" x14ac:dyDescent="0.2">
      <c r="B105" s="197" t="str">
        <f>MID($B$91,40,3)</f>
        <v>AAD</v>
      </c>
      <c r="C105" s="197" t="str">
        <f>IFERROR((VLOOKUP(B105,$A$4:$B$67,2,FALSE))," ")</f>
        <v>Grak</v>
      </c>
      <c r="D105" s="197"/>
      <c r="E105" s="197" t="str">
        <f t="shared" si="6"/>
        <v/>
      </c>
      <c r="F105" s="197" t="str">
        <f t="shared" si="6"/>
        <v/>
      </c>
      <c r="G105" s="197" t="s">
        <v>903</v>
      </c>
      <c r="H105" s="197" t="s">
        <v>903</v>
      </c>
      <c r="I105" s="197" t="str">
        <f t="shared" si="7"/>
        <v/>
      </c>
      <c r="J105" s="197" t="str">
        <f t="shared" si="7"/>
        <v/>
      </c>
      <c r="K105" s="261"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Grak</v>
      </c>
      <c r="AA105" s="197"/>
      <c r="AB105" s="197"/>
      <c r="AC105" s="197"/>
      <c r="AD105" s="197"/>
      <c r="AE105" s="197"/>
      <c r="AF105" s="197"/>
      <c r="AG105" s="197"/>
      <c r="AH105" s="197"/>
    </row>
    <row r="106" spans="2:34" ht="12.75" customHeight="1" x14ac:dyDescent="0.2">
      <c r="B106" s="197" t="str">
        <f>MID($B$91,43,3)</f>
        <v>AAE</v>
      </c>
      <c r="C106" s="197" t="str">
        <f t="shared" si="5"/>
        <v>Crumbleberry</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Crumbleberry</v>
      </c>
      <c r="AA106" s="197"/>
      <c r="AB106" s="197"/>
      <c r="AC106" s="197"/>
      <c r="AD106" s="197"/>
      <c r="AE106" s="197"/>
      <c r="AF106" s="197"/>
      <c r="AG106" s="197"/>
      <c r="AH106" s="197"/>
    </row>
    <row r="107" spans="2:34" ht="12.75" customHeight="1" x14ac:dyDescent="0.2">
      <c r="B107" s="197" t="str">
        <f>MID($B$91,46,3)</f>
        <v>ABB</v>
      </c>
      <c r="C107" s="197" t="str">
        <f t="shared" si="5"/>
        <v>Lord Borak</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Lord Borak</v>
      </c>
      <c r="AA107" s="197"/>
      <c r="AB107" s="197"/>
      <c r="AC107" s="197"/>
      <c r="AD107" s="197"/>
      <c r="AE107" s="197"/>
      <c r="AF107" s="197"/>
      <c r="AG107" s="197"/>
      <c r="AH107" s="197"/>
    </row>
    <row r="108" spans="2:34" ht="12.75" customHeight="1" x14ac:dyDescent="0.2">
      <c r="B108" s="197" t="str">
        <f>MID($B$91,49,3)</f>
        <v>AAF</v>
      </c>
      <c r="C108" s="197" t="str">
        <f t="shared" si="5"/>
        <v>Varag Ghoul-Chewer</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Varag Ghoul-Chewer</v>
      </c>
      <c r="AA108" s="197"/>
      <c r="AB108" s="197"/>
      <c r="AC108" s="197"/>
      <c r="AD108" s="197"/>
      <c r="AE108" s="197"/>
      <c r="AF108" s="197"/>
      <c r="AG108" s="197"/>
      <c r="AH108" s="197"/>
    </row>
    <row r="109" spans="2:34" ht="12.75" customHeight="1" x14ac:dyDescent="0.2">
      <c r="B109" s="197" t="str">
        <f>MID($B$91,52,3)</f>
        <v>ACK</v>
      </c>
      <c r="C109" s="197" t="str">
        <f t="shared" si="5"/>
        <v>H'Thark the Unstoppable</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H'Thark the Unstoppable</v>
      </c>
      <c r="AA109" s="197"/>
      <c r="AB109" s="197"/>
      <c r="AC109" s="197"/>
      <c r="AD109" s="197"/>
      <c r="AE109" s="197"/>
      <c r="AF109" s="197"/>
      <c r="AG109" s="197"/>
      <c r="AH109" s="197"/>
    </row>
    <row r="110" spans="2:34" ht="12.75" customHeight="1" x14ac:dyDescent="0.2">
      <c r="B110" s="197" t="str">
        <f>MID($B$91,55,3)</f>
        <v>AAG</v>
      </c>
      <c r="C110" s="197" t="str">
        <f t="shared" si="5"/>
        <v>Morg 'n' Thorg</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Morg 'n' Thorg</v>
      </c>
      <c r="AA110" s="197"/>
      <c r="AB110" s="197"/>
      <c r="AC110" s="197"/>
      <c r="AD110" s="197"/>
      <c r="AE110" s="197"/>
      <c r="AF110" s="197"/>
      <c r="AG110" s="197"/>
      <c r="AH110" s="197"/>
    </row>
    <row r="111" spans="2:34" ht="12.75" customHeight="1" x14ac:dyDescent="0.2">
      <c r="B111" s="8" t="str">
        <f>MID($B$91,58,3)</f>
        <v>BBB</v>
      </c>
      <c r="C111" s="197" t="str">
        <f t="shared" si="5"/>
        <v>Giant</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Giant</v>
      </c>
      <c r="AA111" s="197"/>
      <c r="AB111" s="197"/>
      <c r="AC111" s="197"/>
      <c r="AD111" s="197"/>
      <c r="AE111" s="197"/>
      <c r="AF111" s="197"/>
      <c r="AG111" s="197"/>
      <c r="AH111" s="197"/>
    </row>
    <row r="112" spans="2:34" ht="12.75" customHeight="1" x14ac:dyDescent="0.2">
      <c r="B112" s="8" t="str">
        <f>MID($B$91,61,3)</f>
        <v>CCC</v>
      </c>
      <c r="C112" s="197" t="str">
        <f t="shared" si="5"/>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DDD</v>
      </c>
      <c r="C113" s="197" t="str">
        <f t="shared" si="5"/>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EEE</v>
      </c>
      <c r="C114" s="197" t="str">
        <f t="shared" si="5"/>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2025-03-31T11:07:18Z</dcterms:modified>
</cp:coreProperties>
</file>