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D96A874C-8E8B-428A-9647-276920D311A9}"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Z4" i="2"/>
  <c r="BA4" i="2"/>
  <c r="BB4" i="2"/>
  <c r="BC4" i="2"/>
  <c r="BD4" i="2"/>
  <c r="BF4"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U42" i="2"/>
  <c r="BV42" i="2"/>
  <c r="BW42" i="2"/>
  <c r="BX42" i="2"/>
  <c r="BY42"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W47" i="2"/>
  <c r="CI47" i="2"/>
  <c r="CH44" i="2"/>
  <c r="CV44" i="2"/>
  <c r="CW43" i="2"/>
  <c r="CI43" i="2"/>
  <c r="CH53" i="2"/>
  <c r="CV53" i="2"/>
  <c r="CW52" i="2"/>
  <c r="CI52" i="2"/>
  <c r="CW45" i="2"/>
  <c r="CI45"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BT48" i="2" s="1"/>
  <c r="CT58" i="2"/>
  <c r="CT57" i="2" s="1"/>
  <c r="BD52" i="2"/>
  <c r="BB47" i="2"/>
  <c r="AZ42" i="2"/>
  <c r="AZ53" i="2"/>
  <c r="AZ43" i="2"/>
  <c r="BA53" i="2"/>
  <c r="BA45" i="2"/>
  <c r="BD40" i="2"/>
  <c r="AZ55" i="2"/>
  <c r="AZ49" i="2"/>
  <c r="BD43" i="2"/>
  <c r="CQ58" i="2"/>
  <c r="CQ57" i="2" s="1"/>
  <c r="BA54" i="2"/>
  <c r="BA50" i="2"/>
  <c r="BT50" i="2" s="1"/>
  <c r="BA46" i="2"/>
  <c r="BA42" i="2"/>
  <c r="CL58" i="2"/>
  <c r="CL57" i="2" s="1"/>
  <c r="AZ54" i="2"/>
  <c r="BB51" i="2"/>
  <c r="BD48" i="2"/>
  <c r="AZ46" i="2"/>
  <c r="BB43" i="2"/>
  <c r="BT43" i="2" s="1"/>
  <c r="BC40" i="2"/>
  <c r="CJ58" i="2"/>
  <c r="CJ57" i="2" s="1"/>
  <c r="AZ51" i="2"/>
  <c r="BD45" i="2"/>
  <c r="CW58" i="2"/>
  <c r="CW57" i="2" s="1"/>
  <c r="BA55" i="2"/>
  <c r="BA51" i="2"/>
  <c r="BA47" i="2"/>
  <c r="BC42" i="2"/>
  <c r="BA40" i="2"/>
  <c r="BV40" i="2" s="1"/>
  <c r="CJ40" i="2" s="1"/>
  <c r="BD53" i="2"/>
  <c r="BD47" i="2"/>
  <c r="BB42" i="2"/>
  <c r="BT42" i="2" s="1"/>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DA49" i="2"/>
  <c r="CK40" i="2"/>
  <c r="CY40" i="2"/>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AY10" i="2" s="1"/>
  <c r="BH9" i="2"/>
  <c r="BH6" i="2"/>
  <c r="BH5" i="2"/>
  <c r="AY5" i="2" s="1"/>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AY4" i="2" s="1"/>
  <c r="BH3" i="2"/>
  <c r="AY3" i="2" s="1"/>
  <c r="J2" i="2"/>
  <c r="AT2" i="2" s="1"/>
  <c r="CH43" i="2" l="1"/>
  <c r="BJ43" i="2" s="1"/>
  <c r="AH40" i="2" s="1"/>
  <c r="AR5" i="2" s="1"/>
  <c r="CV43" i="2"/>
  <c r="AJ40" i="2" s="1"/>
  <c r="AM5" i="2" s="1"/>
  <c r="AV5" i="2" s="1"/>
  <c r="CV50" i="2"/>
  <c r="AJ47" i="2" s="1"/>
  <c r="AM12" i="2" s="1"/>
  <c r="AV12" i="2" s="1"/>
  <c r="CH50" i="2"/>
  <c r="BJ50" i="2" s="1"/>
  <c r="AH47" i="2" s="1"/>
  <c r="AR12" i="2" s="1"/>
  <c r="CV48" i="2"/>
  <c r="CH48" i="2"/>
  <c r="BJ48" i="2" s="1"/>
  <c r="AH45" i="2" s="1"/>
  <c r="AR10" i="2" s="1"/>
  <c r="AJ45" i="2"/>
  <c r="AM10" i="2" s="1"/>
  <c r="AV10" i="2" s="1"/>
  <c r="CH42" i="2"/>
  <c r="BJ42" i="2" s="1"/>
  <c r="AH39" i="2" s="1"/>
  <c r="AR4" i="2" s="1"/>
  <c r="CV42" i="2"/>
  <c r="AJ39" i="2" s="1"/>
  <c r="AM4" i="2" s="1"/>
  <c r="AV4"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<sst xmlns="http://schemas.openxmlformats.org/spreadsheetml/2006/main" count="4992" uniqueCount="1856">
  <si>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</si>
  <si>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</si>
  <si>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</si>
  <si>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</si>
  <si>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</si>
  <si>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</si>
  <si>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</si>
  <si>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</si>
  <si>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</si>
  <si>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</si>
  <si>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</si>
  <si>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</si>
  <si>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</si>
  <si>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</si>
  <si>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</si>
  <si>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</si>
  <si>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</si>
  <si>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</si>
  <si>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</si>
  <si>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</si>
  <si>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</si>
  <si>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</si>
  <si>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</si>
  <si>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</si>
  <si>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</si>
  <si>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</si>
  <si>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</si>
  <si>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</si>
  <si>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</si>
  <si>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</si>
  <si>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</si>
  <si>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</si>
  <si>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</si>
  <si>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</si>
  <si>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</si>
  <si>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</si>
  <si>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</si>
  <si>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</si>
  <si>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</si>
  <si>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</si>
  <si>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</si>
  <si>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</si>
  <si>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</si>
  <si>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</si>
  <si>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</si>
  <si>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</si>
  <si>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</si>
  <si>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</si>
  <si>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</si>
  <si>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</si>
  <si>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</si>
  <si>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</si>
  <si>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</si>
  <si>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</si>
  <si>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</si>
  <si>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</si>
  <si>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</si>
  <si>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</si>
  <si>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</si>
  <si>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</si>
  <si>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</si>
  <si>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</si>
  <si>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</si>
  <si>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</si>
  <si>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</si>
  <si>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</si>
  <si>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</si>
  <si>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</si>
  <si>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</si>
  <si>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</si>
  <si>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</si>
  <si>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</si>
  <si>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</si>
  <si>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</si>
  <si>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</si>
  <si>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</si>
  <si>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</si>
  <si>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</si>
  <si>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</si>
  <si>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</si>
  <si>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</si>
  <si>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</si>
  <si>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</si>
  <si>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</si>
  <si>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</si>
  <si>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</si>
  <si>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</si>
  <si>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</si>
  <si>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</si>
  <si>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</si>
  <si>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</si>
  <si>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</si>
  <si>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</si>
  <si>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</si>
  <si>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</si>
  <si>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</si>
  <si>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</si>
  <si>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</si>
  <si>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</si>
  <si>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</si>
  <si>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</si>
  <si>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</si>
  <si>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</si>
  <si>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</si>
  <si>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</si>
  <si>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</si>
  <si>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</si>
  <si>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</si>
  <si>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</si>
  <si>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</si>
  <si>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</si>
  <si>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</si>
  <si>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</si>
  <si>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</si>
  <si>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</si>
  <si>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</si>
  <si>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</si>
  <si>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</si>
  <si>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</si>
  <si>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</si>
  <si>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</si>
  <si>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</si>
  <si>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</si>
  <si>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</si>
  <si>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</si>
  <si>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</si>
  <si>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</si>
  <si>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</si>
  <si>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</si>
  <si>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</si>
  <si>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</si>
  <si>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</si>
  <si>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</si>
  <si>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</si>
  <si>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</si>
  <si>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</si>
  <si>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</si>
  <si>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</si>
  <si>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</si>
  <si>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</si>
  <si>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</si>
  <si>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</si>
  <si>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</si>
  <si>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</si>
  <si>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</si>
  <si>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</si>
  <si>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</si>
  <si>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</si>
  <si>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</si>
  <si>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</si>
  <si>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</si>
  <si>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</si>
  <si>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</si>
  <si>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</si>
  <si>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</si>
  <si>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</si>
  <si>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</si>
  <si>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</si>
  <si>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</si>
  <si>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</si>
  <si>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</si>
  <si>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</si>
  <si>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</si>
  <si>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</si>
  <si>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</si>
  <si>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</si>
  <si>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</si>
  <si>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</si>
  <si>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</si>
  <si>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</si>
  <si>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</si>
  <si>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</si>
  <si>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</si>
  <si>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</si>
  <si>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</si>
  <si>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</si>
  <si>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</si>
  <si>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</si>
  <si>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</si>
  <si>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</si>
  <si>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</si>
  <si>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</si>
  <si>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</si>
  <si>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</si>
  <si>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</si>
  <si>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</si>
  <si>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</si>
  <si>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</si>
  <si>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</si>
  <si>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</si>
  <si>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</si>
  <si>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</si>
  <si>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</si>
  <si>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</si>
  <si>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</si>
  <si>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</si>
  <si>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</si>
  <si>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</si>
  <si>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</si>
  <si>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</si>
  <si>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</si>
  <si>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</si>
  <si>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</si>
  <si>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</si>
  <si>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</si>
  <si>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</si>
  <si>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</si>
  <si>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</si>
  <si>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</si>
  <si>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</si>
  <si>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</si>
  <si>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</si>
  <si>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</si>
  <si>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</si>
  <si>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</si>
  <si>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</si>
  <si>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</si>
  <si>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</si>
  <si>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</si>
  <si>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</si>
  <si>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</si>
  <si>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</si>
  <si>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</si>
  <si>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</si>
  <si>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</si>
  <si>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</si>
  <si>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</si>
  <si>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</si>
  <si>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</si>
  <si>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</si>
  <si>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</si>
  <si>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</si>
  <si>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</si>
  <si>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</si>
  <si>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</si>
  <si>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</si>
  <si>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</si>
  <si>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</si>
  <si>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</si>
  <si>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</si>
  <si>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</si>
  <si>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</si>
  <si>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</si>
  <si>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</si>
  <si>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</si>
  <si>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</si>
  <si>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</si>
  <si>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</si>
  <si>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</si>
  <si>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</si>
  <si>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</si>
  <si>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</si>
  <si>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</si>
  <si>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</si>
  <si>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</si>
  <si>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</si>
  <si>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</si>
  <si>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</si>
  <si>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</si>
  <si>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</si>
  <si>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</si>
  <si>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</si>
  <si>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</si>
  <si>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</si>
  <si>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</si>
  <si>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</si>
  <si>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</si>
  <si>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</si>
  <si>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</si>
  <si>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</si>
  <si>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</si>
  <si>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</si>
  <si>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</si>
  <si>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</si>
  <si>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</si>
  <si>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</si>
  <si>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</si>
  <si>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</si>
  <si>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</si>
  <si>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</si>
  <si>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</si>
  <si>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</si>
  <si>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</si>
  <si>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</si>
  <si>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</si>
  <si>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</si>
  <si>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</si>
  <si>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</si>
  <si>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</si>
  <si>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</si>
  <si>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</si>
  <si>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</si>
  <si>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</si>
  <si>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</si>
  <si>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</si>
  <si>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</si>
  <si>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</si>
  <si>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</si>
  <si>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</si>
  <si>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</si>
  <si>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</si>
  <si>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</si>
  <si>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</si>
  <si>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</si>
  <si>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</si>
  <si>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</si>
  <si>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</si>
  <si>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</si>
  <si>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</si>
  <si>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</si>
  <si>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</si>
  <si>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</si>
  <si>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</si>
  <si>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</si>
  <si>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</si>
  <si>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</si>
  <si>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</si>
  <si>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</si>
  <si>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</si>
  <si>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</si>
  <si>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</si>
  <si>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</si>
  <si>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</si>
  <si>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</si>
  <si>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</si>
  <si>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</si>
  <si>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</si>
  <si>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</si>
  <si>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</si>
  <si>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</si>
  <si>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</si>
  <si>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</si>
  <si>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</si>
  <si>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</si>
  <si>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</si>
  <si>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</si>
  <si>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</si>
  <si>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</si>
  <si>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</si>
  <si>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</si>
  <si>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</si>
  <si>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</si>
  <si>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</si>
  <si>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</si>
  <si>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</si>
  <si>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</si>
  <si>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</si>
  <si>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</si>
  <si>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</si>
  <si>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</si>
  <si>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</si>
  <si>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</si>
  <si>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</si>
  <si>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</si>
  <si>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</si>
  <si>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</si>
  <si>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</si>
  <si>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</si>
  <si>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</si>
  <si>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</si>
  <si>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</si>
  <si>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</si>
  <si>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</si>
  <si>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</si>
  <si>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</si>
  <si>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</si>
  <si>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</si>
  <si>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</si>
  <si>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</si>
  <si>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</si>
  <si>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</si>
  <si>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</si>
  <si>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</si>
  <si>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</si>
  <si>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</si>
  <si>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</si>
  <si>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</si>
  <si>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</si>
  <si>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</si>
  <si>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</si>
  <si>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</si>
  <si>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</si>
  <si>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</si>
  <si>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</si>
  <si>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</si>
  <si>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</si>
  <si>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</si>
  <si>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</si>
  <si>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</si>
  <si>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</si>
  <si>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</si>
  <si>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</si>
  <si>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</si>
  <si>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</si>
  <si>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</si>
  <si>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</si>
  <si>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</si>
  <si>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</si>
  <si>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</si>
  <si>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</si>
  <si>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</si>
  <si>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</si>
  <si>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</si>
  <si>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</si>
  <si>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</si>
  <si>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</si>
  <si>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</si>
  <si>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</si>
  <si>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</si>
  <si>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</si>
  <si>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</si>
  <si>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</si>
  <si>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</si>
  <si>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</si>
  <si>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</si>
  <si>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</si>
  <si>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</si>
  <si>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</si>
  <si>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</si>
  <si>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</si>
  <si>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</si>
  <si>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</si>
  <si>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</si>
  <si>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</si>
  <si>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</si>
  <si>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</si>
  <si>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</si>
  <si>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</si>
  <si>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</si>
  <si>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</si>
  <si>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</si>
  <si>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</si>
  <si>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</si>
  <si>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</si>
  <si>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</si>
  <si>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</si>
  <si>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</si>
  <si>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</si>
  <si>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</si>
  <si>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</si>
  <si>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</si>
  <si>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</si>
  <si>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</si>
  <si>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</si>
  <si>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</si>
  <si>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</si>
  <si>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</si>
  <si>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</si>
  <si>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</si>
  <si>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</si>
  <si>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</si>
  <si>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</si>
  <si>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</si>
  <si>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</si>
  <si>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</si>
  <si>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</si>
  <si>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</si>
  <si>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</si>
  <si>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</si>
  <si>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</si>
  <si>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</si>
  <si>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</si>
  <si>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</si>
  <si>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</si>
  <si>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</si>
  <si>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</si>
  <si>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</si>
  <si>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</si>
  <si>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</si>
  <si>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</si>
  <si>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</si>
  <si>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</si>
  <si>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</si>
  <si>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</si>
  <si>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</si>
  <si>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</si>
  <si>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</si>
  <si>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</si>
  <si>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</si>
  <si>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</si>
  <si>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</si>
  <si>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</si>
  <si>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</si>
  <si>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</si>
  <si>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</si>
  <si>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</si>
  <si>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</si>
  <si>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</si>
  <si>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</si>
  <si>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</si>
  <si>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</si>
  <si>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</si>
  <si>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</si>
  <si>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</si>
  <si>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</si>
  <si>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</si>
  <si>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</si>
  <si>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</si>
  <si>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</si>
  <si>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</si>
  <si>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</si>
  <si>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</si>
  <si>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</si>
  <si>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</si>
  <si>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</si>
  <si>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</si>
  <si>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</si>
  <si>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</si>
  <si>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</si>
  <si>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</si>
  <si>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</si>
  <si>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</si>
  <si>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</si>
  <si>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</si>
  <si>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</si>
  <si>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</si>
  <si>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</si>
  <si>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</si>
  <si>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</si>
  <si>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</si>
  <si>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</si>
  <si>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</si>
  <si>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</si>
  <si>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</si>
  <si>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</si>
  <si>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</si>
  <si>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</si>
  <si>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</si>
  <si>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</si>
  <si>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</si>
  <si>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</si>
  <si>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</si>
  <si>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</si>
  <si>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</si>
  <si>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</si>
  <si>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</si>
  <si>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</si>
  <si>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</si>
  <si>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</si>
  <si>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</si>
  <si>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</si>
  <si>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</si>
  <si>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</si>
  <si>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</si>
  <si>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</si>
  <si>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</si>
  <si>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</si>
  <si>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</si>
  <si>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</si>
  <si>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</si>
  <si>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</si>
  <si>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</si>
  <si>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</si>
  <si>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</si>
  <si>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</si>
  <si>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</si>
  <si>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</si>
  <si>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</si>
  <si>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</si>
  <si>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</si>
  <si>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</si>
  <si>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</si>
  <si>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</si>
  <si>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</si>
  <si>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</si>
  <si>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</si>
  <si>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</si>
  <si>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</si>
  <si>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</si>
  <si>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</si>
  <si>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</si>
  <si>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</si>
  <si>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</si>
  <si>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</si>
  <si>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</si>
  <si>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</si>
  <si>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</si>
  <si>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</si>
  <si>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</si>
  <si>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</si>
  <si>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</si>
  <si>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</si>
  <si>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</si>
  <si>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</si>
  <si>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</si>
  <si>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</si>
  <si>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</si>
  <si>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</si>
  <si>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</si>
  <si>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</si>
  <si>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</si>
  <si>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</si>
  <si>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</si>
  <si>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</si>
  <si>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</si>
  <si>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</si>
  <si>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</si>
  <si>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</si>
  <si>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</si>
  <si>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</si>
  <si>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</si>
  <si>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</si>
  <si>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</si>
  <si>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</si>
  <si>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</si>
  <si>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</si>
  <si>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</si>
  <si>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</si>
  <si>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</si>
  <si>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</si>
  <si>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</si>
  <si>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</si>
  <si>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</si>
  <si>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</si>
  <si>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</si>
  <si>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</si>
  <si>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</si>
  <si>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</si>
  <si>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</si>
  <si>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</si>
  <si>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</si>
  <si>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</si>
  <si>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</si>
  <si>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</si>
  <si>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</si>
  <si>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</si>
  <si>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</si>
  <si>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</si>
  <si>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</si>
  <si>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</si>
  <si>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</si>
  <si>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</si>
  <si>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</si>
  <si>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</si>
  <si>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</si>
  <si>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</si>
  <si>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</si>
  <si>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</si>
  <si>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</si>
  <si>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</si>
  <si>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</si>
  <si>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</si>
  <si>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</si>
  <si>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</si>
  <si>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</si>
  <si>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</si>
  <si>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</si>
  <si>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</si>
  <si>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</si>
  <si>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</si>
  <si>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</si>
  <si>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</si>
  <si>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</si>
  <si>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</si>
  <si>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</si>
  <si>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</si>
  <si>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</si>
  <si>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</si>
  <si>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</si>
  <si>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</si>
  <si>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</si>
  <si>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</si>
  <si>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</si>
  <si>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</si>
  <si>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</si>
  <si>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</si>
  <si>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</si>
  <si>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</si>
  <si>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</si>
  <si>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</si>
  <si>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</si>
  <si>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</si>
  <si>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</si>
  <si>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</si>
  <si>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</si>
  <si>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</si>
  <si>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</si>
  <si>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</si>
  <si>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</si>
  <si>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</si>
  <si>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</si>
  <si>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</si>
  <si>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</si>
  <si>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</si>
  <si>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</si>
  <si>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</si>
  <si>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</si>
  <si>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</si>
  <si>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</si>
  <si>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</si>
  <si>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</si>
  <si>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</si>
  <si>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</si>
  <si>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</si>
  <si>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</si>
  <si>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</si>
  <si>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</si>
  <si>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</si>
  <si>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</si>
  <si>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</si>
  <si>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</si>
  <si>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</si>
  <si>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</si>
  <si>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</si>
  <si>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</si>
  <si>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</si>
  <si>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</si>
  <si>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</si>
  <si>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</si>
  <si>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</si>
  <si>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</si>
  <si>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</si>
  <si>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</si>
  <si>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</si>
  <si>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</si>
  <si>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</si>
  <si>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</si>
  <si>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</si>
  <si>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</si>
  <si>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</si>
  <si>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</si>
  <si>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</si>
  <si>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</si>
  <si>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</si>
  <si>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</si>
  <si>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</si>
  <si>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</si>
  <si>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</si>
  <si>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</si>
  <si>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</si>
  <si>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</si>
  <si>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</si>
  <si>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</si>
  <si>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</si>
  <si>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</si>
  <si>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</si>
  <si>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</si>
  <si>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</si>
  <si>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</si>
  <si>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</si>
  <si>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</si>
  <si>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</si>
  <si>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</si>
  <si>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</si>
  <si>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</si>
  <si>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</si>
  <si>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</si>
  <si>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</si>
  <si>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</si>
  <si>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</si>
  <si>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</si>
  <si>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</si>
  <si>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</si>
  <si>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</si>
  <si>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</si>
  <si>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</si>
  <si>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</si>
  <si>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</si>
  <si>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</si>
  <si>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</si>
  <si>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</si>
  <si>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</si>
  <si>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</si>
  <si>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</si>
  <si>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</si>
  <si>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</si>
  <si>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</si>
  <si>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</si>
  <si>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</si>
  <si>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</si>
  <si>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</si>
  <si>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</si>
  <si>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</si>
  <si>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</si>
  <si>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</si>
  <si>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</si>
  <si>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</si>
  <si>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</si>
  <si>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</si>
  <si>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</si>
  <si>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</si>
  <si>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</si>
  <si>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</si>
  <si>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</si>
  <si>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</si>
  <si>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</si>
  <si>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</si>
  <si>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</si>
  <si>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</si>
  <si>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</si>
  <si>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</si>
  <si>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</si>
  <si>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</si>
  <si>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</si>
  <si>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</si>
  <si>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</si>
  <si>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</si>
  <si>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</si>
  <si>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</si>
  <si>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</si>
  <si>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</si>
  <si>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</si>
  <si>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</si>
  <si>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</si>
  <si>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</si>
  <si>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</si>
  <si>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</si>
  <si>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</si>
  <si>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</si>
  <si>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</si>
  <si>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</si>
  <si>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</si>
  <si>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</si>
  <si>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</si>
  <si>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</si>
  <si>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</si>
  <si>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</si>
  <si>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</si>
  <si>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</si>
  <si>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</si>
  <si>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</si>
  <si>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</si>
  <si>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</si>
  <si>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</si>
  <si>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</si>
  <si>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</si>
  <si>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</si>
  <si>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</si>
  <si>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</si>
  <si>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</si>
  <si>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</si>
  <si>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</si>
  <si>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</si>
  <si>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</si>
  <si>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</si>
  <si>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</si>
  <si>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</si>
  <si>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</si>
  <si>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</si>
  <si>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</si>
  <si>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</si>
  <si>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</si>
  <si>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</si>
  <si>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</si>
  <si>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</si>
  <si>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</si>
  <si>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</si>
  <si>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</si>
  <si>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</si>
  <si>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</si>
  <si>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</si>
  <si>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</si>
  <si>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</si>
  <si>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</si>
  <si>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</si>
  <si>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</si>
  <si>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</si>
  <si>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</si>
  <si>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</si>
  <si>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</si>
  <si>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</si>
  <si>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</si>
  <si>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</si>
  <si>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</si>
  <si>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</si>
  <si>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</si>
  <si>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</si>
  <si>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</si>
  <si>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</si>
  <si>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</si>
  <si>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</si>
  <si>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</si>
  <si>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</si>
  <si>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</si>
  <si>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</si>
  <si>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</si>
  <si>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</si>
  <si>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</si>
  <si>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</si>
  <si>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</si>
  <si>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</si>
  <si>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</si>
  <si>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</si>
  <si>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</si>
  <si>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</si>
  <si>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</si>
  <si>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</si>
  <si>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</si>
  <si>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</si>
  <si>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</si>
  <si>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</si>
  <si>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</si>
  <si>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</si>
  <si>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</si>
  <si>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</si>
  <si>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</si>
  <si>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</si>
  <si>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</si>
  <si>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</si>
  <si>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</si>
  <si>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</si>
  <si>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</si>
  <si>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</si>
  <si>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</si>
  <si>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</si>
  <si>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</si>
  <si>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</si>
  <si>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</si>
  <si>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</si>
  <si>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</si>
  <si>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</si>
  <si>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</si>
  <si>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</si>
  <si>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</si>
  <si>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</si>
  <si>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</si>
  <si>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</si>
  <si>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</si>
  <si>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</si>
  <si>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</si>
  <si>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</si>
  <si>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</si>
  <si>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</si>
  <si>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</si>
  <si>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</si>
  <si>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</si>
  <si>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</si>
  <si>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</si>
  <si>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</si>
  <si>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</si>
  <si>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</si>
  <si>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</si>
  <si>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</si>
  <si>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</si>
  <si>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</si>
  <si>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</si>
  <si>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</si>
  <si>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</si>
  <si>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</si>
  <si>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</si>
  <si>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</si>
  <si>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</si>
  <si>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</si>
  <si>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</si>
  <si>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</si>
  <si>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</si>
  <si>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</si>
  <si>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</si>
  <si>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</si>
  <si>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</si>
  <si>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</si>
  <si>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</si>
  <si>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</si>
  <si>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</si>
  <si>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</si>
  <si>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</si>
  <si>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</si>
  <si>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</si>
  <si>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</si>
  <si>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</si>
  <si>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</si>
  <si>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</si>
  <si>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</si>
  <si>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</si>
  <si>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</si>
  <si>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</si>
  <si>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</si>
  <si>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</si>
  <si>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</si>
  <si>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</si>
  <si>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</si>
  <si>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</si>
  <si>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</si>
  <si>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</si>
  <si>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</si>
  <si>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</si>
  <si>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</si>
  <si>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</si>
  <si>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</si>
  <si>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</si>
  <si>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</si>
  <si>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</si>
  <si>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</si>
  <si>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</si>
  <si>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</si>
  <si>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</si>
  <si>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</si>
  <si>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</si>
  <si>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</si>
  <si>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</si>
  <si>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</si>
  <si>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</si>
  <si>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</si>
  <si>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</si>
  <si>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</si>
  <si>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</si>
  <si>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</si>
  <si>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</si>
  <si>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</si>
  <si>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</si>
  <si>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</si>
  <si>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</si>
  <si>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</si>
  <si>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</si>
  <si>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</si>
  <si>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</si>
  <si>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</si>
  <si>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</si>
  <si>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</si>
  <si>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</si>
  <si>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</si>
  <si>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</si>
  <si>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</si>
  <si>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</si>
  <si>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</si>
  <si>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</si>
  <si>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</si>
  <si>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</si>
  <si>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</si>
  <si>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</si>
  <si>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</si>
  <si>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</si>
  <si>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</si>
  <si>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</si>
  <si>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</si>
  <si>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</si>
  <si>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</si>
  <si>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</si>
  <si>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</si>
  <si>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</si>
  <si>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</si>
  <si>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</si>
  <si>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</si>
  <si>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</si>
  <si>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</si>
  <si>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</si>
  <si>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</si>
  <si>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</si>
  <si>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</si>
  <si>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</si>
  <si>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</si>
  <si>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</si>
  <si>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</si>
  <si>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</si>
  <si>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</si>
  <si>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</si>
  <si>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</si>
  <si>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</si>
  <si>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</si>
  <si>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</si>
  <si>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</si>
  <si>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</si>
  <si>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</si>
  <si>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</si>
  <si>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</si>
  <si>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</si>
  <si>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</si>
  <si>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</si>
  <si>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</si>
  <si>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</si>
  <si>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</si>
  <si>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</si>
  <si>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</si>
  <si>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</si>
  <si>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</si>
  <si>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</si>
  <si>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</si>
  <si>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</si>
  <si>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</si>
  <si>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</si>
  <si>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</si>
  <si>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</si>
  <si>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</si>
  <si>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</si>
  <si>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</si>
  <si>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</si>
  <si>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</si>
  <si>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</si>
  <si>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</si>
  <si>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</si>
  <si>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</si>
  <si>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</si>
  <si>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</si>
  <si>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</si>
  <si>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</si>
  <si>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</si>
  <si>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</si>
  <si>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</si>
  <si>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</si>
  <si>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</si>
  <si>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</si>
  <si>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</si>
  <si>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</si>
  <si>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</si>
  <si>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</si>
  <si>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</si>
  <si>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</si>
  <si>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</si>
  <si>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</si>
  <si>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</si>
  <si>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</si>
  <si>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</si>
  <si>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</si>
  <si>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</si>
  <si>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</si>
  <si>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</si>
  <si>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</si>
  <si>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</si>
  <si>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</si>
  <si>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</si>
  <si>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</si>
  <si>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</si>
  <si>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</si>
  <si>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</si>
  <si>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</si>
  <si>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</si>
  <si>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</si>
  <si>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</si>
  <si>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</si>
  <si>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</si>
  <si>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</si>
  <si>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</si>
  <si>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</si>
  <si>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</si>
  <si>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</si>
  <si>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</si>
  <si>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</si>
  <si>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</si>
  <si>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</si>
  <si>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</si>
  <si>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</si>
  <si>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</si>
  <si>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</si>
  <si>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</si>
  <si>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</si>
  <si>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</si>
  <si>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</si>
  <si>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</si>
  <si>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</si>
  <si>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</si>
  <si>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</si>
  <si>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</si>
  <si>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</si>
  <si>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</si>
  <si>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</si>
  <si>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</si>
  <si>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</si>
  <si>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</si>
  <si>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</si>
  <si>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</si>
  <si>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</si>
  <si>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</si>
  <si>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</si>
  <si>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</si>
  <si>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</si>
  <si>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</si>
  <si>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</si>
  <si>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</si>
  <si>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</si>
  <si>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</si>
  <si>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</si>
  <si>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</si>
  <si>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</si>
  <si>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</si>
  <si>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</si>
  <si>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</si>
  <si>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</si>
  <si>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</si>
  <si>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</si>
  <si>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</si>
  <si>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</si>
  <si>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</si>
  <si>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</si>
  <si>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</si>
  <si>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</si>
  <si>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</si>
  <si>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</si>
  <si>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</si>
  <si>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</si>
  <si>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</si>
  <si>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</si>
  <si>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</si>
  <si>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</si>
  <si>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</si>
  <si>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</si>
  <si>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</si>
  <si>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</si>
  <si>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</si>
  <si>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</si>
  <si>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</si>
  <si>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</si>
  <si>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</si>
  <si>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</si>
  <si>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</si>
  <si>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</si>
  <si>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</si>
  <si>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</si>
  <si>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</si>
  <si>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</si>
  <si>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</si>
  <si>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</si>
  <si>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</si>
  <si>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</si>
  <si>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</si>
  <si>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</si>
  <si>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</si>
  <si>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</si>
  <si>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</si>
  <si>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</si>
  <si>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</si>
  <si>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</si>
  <si>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</si>
  <si>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</si>
  <si>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</si>
  <si>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</si>
  <si>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</si>
  <si>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</si>
  <si>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</si>
  <si>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</si>
  <si>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</si>
  <si>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</si>
  <si>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</si>
  <si>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</si>
  <si>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</si>
  <si>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</si>
  <si>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</si>
  <si>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</si>
  <si>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</si>
  <si>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</si>
  <si>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</si>
  <si>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</si>
  <si>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</si>
  <si>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</si>
  <si>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</si>
  <si>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</si>
  <si>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</si>
  <si>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</si>
  <si>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</si>
  <si>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</si>
  <si>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</si>
  <si>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</si>
  <si>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</si>
  <si>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</si>
  <si>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</si>
  <si>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</si>
  <si>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</si>
  <si>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</si>
  <si>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</si>
  <si>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</si>
  <si>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</si>
  <si>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</si>
  <si>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</si>
  <si>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</si>
  <si>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</si>
  <si>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</si>
  <si>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</si>
  <si>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</si>
  <si>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</si>
  <si>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</si>
  <si>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</si>
  <si>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</si>
  <si>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</si>
  <si>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</si>
  <si>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</si>
  <si>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</si>
  <si>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</si>
  <si>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</si>
  <si>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</si>
  <si>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</si>
  <si>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</si>
  <si>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</si>
  <si>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</si>
  <si>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</si>
  <si>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</si>
  <si>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</si>
  <si>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</si>
  <si>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</si>
  <si>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</si>
  <si>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</si>
  <si>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</si>
  <si>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</si>
  <si>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</si>
  <si>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</si>
  <si>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</si>
  <si>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</si>
  <si>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</si>
  <si>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</si>
  <si>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</si>
  <si>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</si>
  <si>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</si>
  <si>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</si>
  <si>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</si>
  <si>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</si>
  <si>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</si>
  <si>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</si>
  <si>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</si>
  <si>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</si>
  <si>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</si>
  <si>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</si>
  <si>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</si>
  <si>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</si>
  <si>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</si>
  <si>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</si>
  <si>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</si>
  <si>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</si>
  <si>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</si>
  <si>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</si>
  <si>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</si>
  <si>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</si>
  <si>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</si>
  <si>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</si>
  <si>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</si>
  <si>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</si>
  <si>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</si>
  <si>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</si>
  <si>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</si>
  <si>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</si>
  <si>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</si>
  <si>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</si>
  <si>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</si>
  <si>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</si>
  <si>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</si>
  <si>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</si>
  <si>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</si>
  <si>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</si>
  <si>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</si>
  <si>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</si>
  <si>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</si>
  <si>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</si>
  <si>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</si>
  <si>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</si>
  <si>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</si>
  <si>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</si>
  <si>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</si>
  <si>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</si>
  <si>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</si>
  <si>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</si>
  <si>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</si>
  <si>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</si>
  <si>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</si>
  <si>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</si>
  <si>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</si>
  <si>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</si>
  <si>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</si>
  <si>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</si>
  <si>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</si>
  <si>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</si>
  <si>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</si>
  <si>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</si>
  <si>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</si>
  <si>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</si>
  <si>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</si>
  <si>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</si>
  <si>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</si>
  <si>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</si>
  <si>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</si>
  <si>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</si>
  <si>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</si>
  <si>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</si>
  <si>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</si>
  <si>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</si>
  <si>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</si>
  <si>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</si>
  <si>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</si>
  <si>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</si>
  <si>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</si>
  <si>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</si>
  <si>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</si>
  <si>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</si>
  <si>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</si>
  <si>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</si>
  <si>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</si>
  <si>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</si>
  <si>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</si>
  <si>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</si>
  <si>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</si>
  <si>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</si>
  <si>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</si>
  <si>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</si>
  <si>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</si>
  <si>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</si>
  <si>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</si>
  <si>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</si>
  <si>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</si>
  <si>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</si>
  <si>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</si>
  <si>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</si>
  <si>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</si>
  <si>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</si>
  <si>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</si>
  <si>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</si>
  <si>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</si>
  <si>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</si>
  <si>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</si>
  <si>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</si>
  <si>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</si>
  <si>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</si>
  <si>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</si>
  <si>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</si>
  <si>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</si>
  <si>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</si>
  <si>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</si>
  <si>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</si>
  <si>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</si>
  <si>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</si>
  <si>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</si>
  <si>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</si>
  <si>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</si>
  <si>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</si>
  <si>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</si>
  <si>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</si>
  <si>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</si>
  <si>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</si>
  <si>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</si>
  <si>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</si>
  <si>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</si>
  <si>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</si>
  <si>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</si>
  <si>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</si>
  <si>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</si>
  <si>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</si>
  <si>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</si>
  <si>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</si>
  <si>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</si>
  <si>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</si>
  <si>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</si>
  <si>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</si>
  <si>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</si>
  <si>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</si>
  <si>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</si>
  <si>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</si>
  <si>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</si>
  <si>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</si>
  <si>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</si>
  <si>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</si>
  <si>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</si>
  <si>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</si>
  <si>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</si>
  <si>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</si>
  <si>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</si>
  <si>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</si>
  <si>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</si>
  <si>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</si>
  <si>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</si>
  <si>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</si>
  <si>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</si>
  <si>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</si>
  <si>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</si>
  <si>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</si>
  <si>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</si>
  <si>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</si>
  <si>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</si>
  <si>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</si>
  <si>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</si>
  <si>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</si>
  <si>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</si>
  <si>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</si>
  <si>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</si>
  <si>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</si>
  <si>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</si>
  <si>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</si>
  <si>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</si>
  <si>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</si>
  <si>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</si>
  <si>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</si>
  <si>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</si>
  <si>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</si>
  <si>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</si>
  <si>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</si>
  <si>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</si>
  <si>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</si>
  <si>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</si>
  <si>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</si>
  <si>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</si>
  <si>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</si>
  <si>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</si>
  <si>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</si>
  <si>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</si>
  <si>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</si>
  <si>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</si>
  <si>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</si>
  <si>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</si>
  <si>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</si>
  <si>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</si>
  <si>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</si>
  <si>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</si>
  <si>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</si>
  <si>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</si>
  <si>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</si>
  <si>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</si>
  <si>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</si>
  <si>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</si>
  <si>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</si>
  <si>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</si>
  <si>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</si>
  <si>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</si>
  <si>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</si>
  <si>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</si>
  <si>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</si>
  <si>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</si>
  <si>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</si>
  <si>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</si>
  <si>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</si>
  <si>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</si>
  <si>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</si>
  <si>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</si>
  <si>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</si>
  <si>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</si>
  <si>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</si>
  <si>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</si>
  <si>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</si>
  <si>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</si>
  <si>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</si>
  <si>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</si>
  <si>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</si>
  <si>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</si>
  <si>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</si>
  <si>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</si>
  <si>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</si>
  <si>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</si>
  <si>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</si>
  <si>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</si>
  <si>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</si>
  <si>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</si>
  <si>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</si>
  <si>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</si>
  <si>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</si>
  <si>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</si>
  <si>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</si>
  <si>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</si>
  <si>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</si>
  <si>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</si>
  <si>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</si>
  <si>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</si>
  <si>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</si>
  <si>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</si>
  <si>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</si>
  <si>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</si>
  <si>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</si>
  <si>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</si>
  <si>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</si>
  <si>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</si>
  <si>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</si>
  <si>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</si>
  <si>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</si>
  <si>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</si>
  <si>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</si>
  <si>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</si>
  <si>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</si>
  <si>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</si>
  <si>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</si>
  <si>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</si>
  <si>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</si>
  <si>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</si>
  <si>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</si>
  <si>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</si>
  <si>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</si>
  <si>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</si>
  <si>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</si>
  <si>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</si>
  <si>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</si>
  <si>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</si>
  <si>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</si>
  <si>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</si>
  <si>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</si>
  <si>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</si>
  <si>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</si>
  <si>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</si>
  <si>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</si>
  <si>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</si>
  <si>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</si>
  <si>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</si>
  <si>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</si>
  <si>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</si>
  <si>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</si>
  <si>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</si>
  <si>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</si>
  <si>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</si>
  <si>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</si>
  <si>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</si>
  <si>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</si>
  <si>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</si>
  <si>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</si>
  <si>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</si>
  <si>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</si>
  <si>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</si>
  <si>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</si>
  <si>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</si>
  <si>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</si>
  <si>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</si>
  <si>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</si>
  <si>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</si>
  <si>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</si>
  <si>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</si>
  <si>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</si>
  <si>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</si>
  <si>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</si>
  <si>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</si>
  <si>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</si>
  <si>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</si>
  <si>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</si>
  <si>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</si>
  <si>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</si>
  <si>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</si>
  <si>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</si>
  <si>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</si>
  <si>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</si>
  <si>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</si>
  <si>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</si>
  <si>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</si>
  <si>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</si>
  <si>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</si>
  <si>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</si>
  <si>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</si>
  <si>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</si>
  <si>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</si>
  <si>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</si>
  <si>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</si>
  <si>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</si>
  <si>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</si>
  <si>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</si>
  <si>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</si>
  <si>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</si>
  <si>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</si>
  <si>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</si>
  <si>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</si>
  <si>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</si>
  <si>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</si>
  <si>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</si>
  <si>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</si>
  <si>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</si>
  <si>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</si>
  <si>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</si>
  <si>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</si>
  <si>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</si>
  <si>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</si>
  <si>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</si>
  <si>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</si>
  <si>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</si>
  <si>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</si>
  <si>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</si>
  <si>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</si>
  <si>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</si>
  <si>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</si>
  <si>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</si>
  <si>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</si>
  <si>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</si>
  <si>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</si>
  <si>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</si>
  <si>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</si>
  <si>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</si>
  <si>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</si>
  <si>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</si>
  <si>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</si>
  <si>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</si>
  <si>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</si>
  <si>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</si>
  <si>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</si>
  <si>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</si>
  <si>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</si>
  <si>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</si>
  <si>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</si>
  <si>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</si>
  <si>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</si>
  <si>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</si>
  <si>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</si>
  <si>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</si>
  <si>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</si>
  <si>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</si>
  <si>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</si>
  <si>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</si>
  <si>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</si>
  <si>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</si>
  <si>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</si>
  <si>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</si>
  <si>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</si>
  <si>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</si>
  <si>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</si>
  <si>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</si>
  <si>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</si>
  <si>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</si>
  <si>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</si>
  <si>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</si>
  <si>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</si>
  <si>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</si>
  <si>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</si>
  <si>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</si>
  <si>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</si>
  <si>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</si>
  <si>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</si>
  <si>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</si>
  <si>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</si>
  <si>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</si>
  <si>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</si>
  <si>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</si>
  <si>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</si>
  <si>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</si>
  <si>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</si>
  <si>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</si>
  <si>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</si>
  <si>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</si>
  <si>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</si>
  <si>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</si>
  <si>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</si>
  <si>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</si>
  <si>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</si>
  <si>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</si>
  <si>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</si>
  <si>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</si>
  <si>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</si>
  <si>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</si>
  <si>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</si>
  <si>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</si>
  <si>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</si>
  <si>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</si>
  <si>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</si>
  <si>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</si>
  <si>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</si>
  <si>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</si>
  <si>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</si>
  <si>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</si>
  <si>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</si>
  <si>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</si>
  <si>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</si>
  <si>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</si>
  <si>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</si>
  <si>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</si>
  <si>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</si>
  <si>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</si>
  <si>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</si>
  <si>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</si>
  <si>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</si>
  <si>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</si>
  <si>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</si>
  <si>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</si>
  <si>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</si>
  <si>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</si>
  <si>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</si>
  <si>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</si>
  <si>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</si>
  <si>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</si>
  <si>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</si>
  <si>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</si>
  <si>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</si>
  <si>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</si>
  <si>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</si>
  <si>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</si>
  <si>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</si>
  <si>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</si>
  <si>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</si>
  <si>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</si>
  <si>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</si>
  <si>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</si>
  <si>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</si>
  <si>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</si>
  <si>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</si>
  <si>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</si>
  <si>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</si>
  <si>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</si>
  <si>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</si>
  <si>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</si>
  <si>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</si>
  <si>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</si>
  <si>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</si>
  <si>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</si>
  <si>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</si>
  <si>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</si>
  <si>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</si>
  <si>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</si>
  <si>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</si>
  <si>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</si>
  <si>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</si>
  <si>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</si>
  <si>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</si>
  <si>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</si>
  <si>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</si>
  <si>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</si>
  <si>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</si>
  <si>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</si>
  <si>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</si>
  <si>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</si>
  <si>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</si>
  <si>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</si>
  <si>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</si>
  <si>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</si>
  <si>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</si>
  <si>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</si>
  <si>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</si>
  <si>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</si>
  <si>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</si>
  <si>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</si>
  <si>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</si>
  <si>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</si>
  <si>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</si>
  <si>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</si>
  <si>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</si>
  <si>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</si>
  <si>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</si>
  <si>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</si>
  <si>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</si>
  <si>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</si>
  <si>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</si>
  <si>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</si>
  <si>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</si>
  <si>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</si>
  <si>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</si>
  <si>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</si>
  <si>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</si>
  <si>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</si>
  <si>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</si>
  <si>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</si>
  <si>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</si>
  <si>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</si>
  <si>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</si>
  <si>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</si>
  <si>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</si>
  <si>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</si>
  <si>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</si>
  <si>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</si>
  <si>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</si>
  <si>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</si>
  <si>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</si>
  <si>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</si>
  <si>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</si>
  <si>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</si>
  <si>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</si>
  <si>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</si>
  <si>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</si>
  <si>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</si>
  <si>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</si>
  <si>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</si>
  <si>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Zhereali</t>
  </si>
  <si>
    <t>Freud</t>
  </si>
  <si>
    <t>Nesquig</t>
  </si>
  <si>
    <t>Orc Popz</t>
  </si>
  <si>
    <t>Kellorc's</t>
  </si>
  <si>
    <t>Cheeriorcs</t>
  </si>
  <si>
    <t>Orc Flakes</t>
  </si>
  <si>
    <t>Mizura</t>
  </si>
  <si>
    <t>Froztie</t>
  </si>
  <si>
    <t>Gran Zhereale</t>
  </si>
  <si>
    <t>Honey Loopz</t>
  </si>
  <si>
    <t>Ciocork Krave</t>
  </si>
  <si>
    <t>Vitaliz</t>
  </si>
  <si>
    <t>Neztlè Fitnez</t>
  </si>
  <si>
    <t>Junkel</t>
  </si>
  <si>
    <t>30K per Merciful Patrons</t>
  </si>
  <si>
    <t>Random</t>
  </si>
  <si>
    <t>Mondelez</t>
  </si>
  <si>
    <t>Kraft</t>
  </si>
  <si>
    <t>Smucker</t>
  </si>
  <si>
    <t>Mengil</t>
  </si>
  <si>
    <t>Jump Up</t>
  </si>
  <si>
    <t>Diving Catch</t>
  </si>
  <si>
    <t>Arm Bar</t>
  </si>
  <si>
    <t>Juggernaut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</si>
</sst>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3">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30">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2" t="str">
        <f>IF(Roster!$K$25="Italiano","Blood Bowl 2020 Roster Lega",(IF(Roster!$K$25="Español","Blood Bowl 2020 Roster League",(IF(Roster!$K$25="Deutsch","Blood Bowl 2020 Roster Liga",(IF(Roster!$K$25="Français","Blood Bowl 2020 Roster Ligue","Blood Bowl 2020 Roster League")))))))</f>
        <v>Blood Bowl 2020 Roster League</v>
      </c>
      <c r="C1" s="293"/>
      <c r="D1" s="294"/>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295" t="str">
        <f>Roster!A33</f>
        <v>v9.0 - Created by dreamscreator</v>
      </c>
      <c r="C2" s="296"/>
      <c r="D2" s="297"/>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298" t="str">
        <f>Roster!A34</f>
        <v>https://bloodbowlhelp.wordpress.com</v>
      </c>
      <c r="C3" s="296"/>
      <c r="D3" s="297"/>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299"/>
      <c r="C4" s="296"/>
      <c r="D4" s="297"/>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299" t="str">
        <f>IF(Roster!$K$25="Italiano",M5,(IF(Roster!$K$25="Español",J5,(IF(Roster!$K$25="Deutsch",K5,(IF(Roster!$K$25="Français",L5,I5)))))))</f>
        <v>Compatible with Excel, Google Sheets (just upload Excel to Google Drive) and Libre Office</v>
      </c>
      <c r="C5" s="296"/>
      <c r="D5" s="297"/>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309"/>
      <c r="C6" s="309"/>
      <c r="D6" s="309"/>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299" t="str">
        <f>IF(Roster!$K$25="Italiano",M7,(IF(Roster!$K$25="Español",J7,(IF(Roster!$K$25="Deutsch",K7,(IF(Roster!$K$25="Français",L7,I7)))))))</f>
        <v>If you want help so I can carry on updating the excel rosters, you can donate in the following link. Thank you very much!</v>
      </c>
      <c r="C7" s="296"/>
      <c r="D7" s="297"/>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308" t="s">
        <v>1255</v>
      </c>
      <c r="C8" s="308"/>
      <c r="D8" s="308"/>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306"/>
      <c r="C9" s="307"/>
      <c r="D9" s="307"/>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0" t="str">
        <f>IF(Roster!$K$25="Italiano","Comment utiliser cet Excel",(IF(Roster!K25="Español","Cómo usar este Excel",(IF(Roster!K25="Deutsch","Wie Sie dieses Excel verwenden",(IF(Roster!K25="Français","Comment utiliser cet Excel","How to use this Excel")))))))</f>
        <v>How to use this Excel</v>
      </c>
      <c r="C10" s="301"/>
      <c r="D10" s="302"/>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303" t="str">
        <f>IF(Roster!$K$25="Italiano",M11,(IF(Roster!$K$25="Español",J11,(IF(Roster!$K$25="Deutsch",K11,(IF(Roster!$K$25="Français",L11,I11)))))))</f>
        <v>TO PRINT: Select the cells you want to print and in Print options choose the option print selected cells.</v>
      </c>
      <c r="C11" s="304"/>
      <c r="D11" s="305"/>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303" t="str">
        <f>IF(Roster!$K$25="Italiano",M12,(IF(Roster!$K$25="Español",J12,(IF(Roster!$K$25="Deutsch",K12,(IF(Roster!$K$25="Français",L12,I12)))))))</f>
        <v>The skill of snotlings Low Cost Linemen is activated by default.</v>
      </c>
      <c r="C12" s="304"/>
      <c r="D12" s="305"/>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30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4"/>
      <c r="D13" s="305"/>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30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4"/>
      <c r="D14" s="305"/>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303" t="str">
        <f>IF(Roster!$K$25="Italiano",M15,(IF(Roster!$K$25="Español",J15,(IF(Roster!$K$25="Deutsch",K15,(IF(Roster!$K$25="Français",L15,I15)))))))</f>
        <v>In the match tab you can include the winnings and the variation of Dedicated Fans that will be shown with the calculation made automatically in the roster tab.</v>
      </c>
      <c r="C15" s="304"/>
      <c r="D15" s="305"/>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303" t="str">
        <f>IF(Roster!$K$25="Italiano",M16,(IF(Roster!$K$25="Español",J16,(IF(Roster!$K$25="Deutsch",K16,(IF(Roster!$K$25="Français",L16,I16)))))))</f>
        <v>If a player dies or is withdrawn, he should be included in the dead and withdrawn players tab including the cost so that the roster automatically calculates it.</v>
      </c>
      <c r="C16" s="304"/>
      <c r="D16" s="305"/>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303" t="str">
        <f>IF(Roster!$K$25="Italiano",M17,(IF(Roster!$K$25="Español",J17,(IF(Roster!$K$25="Deutsch",K17,(IF(Roster!$K$25="Français",L17,I17)))))))</f>
        <v>The Team Cards sheet is fully automatic, it is only necessary, if desired, to add images for the players or to change the NAF logo to the team logo.</v>
      </c>
      <c r="C17" s="304"/>
      <c r="D17" s="305"/>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4"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1" t="str">
        <f>IF($K$25="Italiano","NOME GIOCATORE",(IF($K$25="Español","NOMBRE JUGADOR",(IF($K$25="Deutsch","NAME",(IF($K$25="Français","NOM DU JOUEUR","PLAYER NAME")))))))</f>
        <v>PLAYER NAME</v>
      </c>
      <c r="C1" s="392"/>
      <c r="D1" s="364" t="str">
        <f>IF($K$25="Italiano","TIPO",(IF($K$25="Español","TIPO",(IF($K$25="Deutsch","POSITION",(IF($K$25="Français","POSTE","TYPE")))))))</f>
        <v>TYPE</v>
      </c>
      <c r="E1" s="293"/>
      <c r="F1" s="293"/>
      <c r="G1" s="294"/>
      <c r="H1" s="349" t="str">
        <f>IF($K$25="Italiano","QTA",(IF($K$25="Español","CANT",(IF($K$25="Deutsch","An- zahl",(IF($K$25="Français","QTT","QTY")))))))</f>
        <v>QTY</v>
      </c>
      <c r="I1" s="293"/>
      <c r="J1" s="294"/>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293"/>
      <c r="R1" s="293"/>
      <c r="S1" s="293"/>
      <c r="T1" s="293"/>
      <c r="U1" s="293"/>
      <c r="V1" s="293"/>
      <c r="W1" s="293"/>
      <c r="X1" s="293"/>
      <c r="Y1" s="293"/>
      <c r="Z1" s="294"/>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49" t="str">
        <f>IF($K$25="Italiano","SPP Totali",(IF($K$25="Español","SPP Totales",(IF($K$25="Deutsch","Gesamte SPP",(IF($K$25="Français","Total PSP","Total SPP")))))))</f>
        <v>Total SPP</v>
      </c>
      <c r="AL1" s="294"/>
      <c r="AM1" s="349" t="str">
        <f>IF($K$25="Italiano","SPP Non Spesi",(IF($K$25="Español","SPP Sin gastar",(IF($K$25="Deutsch","Verfügb. SPP",(IF($K$25="Français","PSP restant","Unspent SPP")))))))</f>
        <v>Unspent SPP</v>
      </c>
      <c r="AN1" s="294"/>
      <c r="AO1" s="364" t="str">
        <f>IF($K$25="Italiano","COSTO",(IF($K$25="Español","PRECIO",(IF($K$25="Deutsch","WERT",(IF($K$25="Français","VALEUR","COST")))))))</f>
        <v>COST</v>
      </c>
      <c r="AP1" s="294"/>
      <c r="AQ1" s="390"/>
      <c r="AR1" s="7" t="s">
        <v>30</v>
      </c>
      <c r="AS1" s="8" t="s">
        <v>31</v>
      </c>
      <c r="AT1" s="8"/>
      <c r="AU1" s="8"/>
      <c r="AV1" s="8"/>
      <c r="AW1" s="8"/>
      <c r="AX1" s="8"/>
      <c r="AY1" s="380" t="s">
        <v>32</v>
      </c>
      <c r="AZ1" s="367"/>
      <c r="BA1" s="367"/>
      <c r="BB1" s="367"/>
      <c r="BC1" s="367"/>
      <c r="BD1" s="367"/>
      <c r="BE1" s="367"/>
      <c r="BF1" s="367"/>
      <c r="BG1" s="336"/>
      <c r="BH1" s="8"/>
      <c r="BI1" s="8"/>
      <c r="BJ1" s="8"/>
      <c r="BK1" s="8"/>
      <c r="BL1" s="8"/>
      <c r="BM1" s="8"/>
      <c r="BN1" s="8"/>
      <c r="BO1" s="8"/>
      <c r="BP1" s="8" t="str">
        <f>INDEX(BZ3:BZ36,(SUM(BZ2:CC2)))</f>
        <v>Black Orc</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1" t="s">
        <v>1833</v>
      </c>
      <c r="C2" s="322"/>
      <c r="D2" s="357" t="s">
        <v>304</v>
      </c>
      <c r="E2" s="314"/>
      <c r="F2" s="314"/>
      <c r="G2" s="314"/>
      <c r="H2" s="18">
        <f>IF(D2="",0,(COUNTIF(D2:G17,D2)))</f>
        <v>1</v>
      </c>
      <c r="I2" s="19" t="s">
        <v>34</v>
      </c>
      <c r="J2" s="20">
        <f>IFERROR((VLOOKUP($BP$1&amp;D2,Teams!D:M,10,0)),0)</f>
        <v>1</v>
      </c>
      <c r="K2" s="21">
        <f t="shared" ref="K2:L2" si="0">IFERROR(L61,0)</f>
        <v>4</v>
      </c>
      <c r="L2" s="21">
        <f t="shared" si="0"/>
        <v>5</v>
      </c>
      <c r="M2" s="21" t="str">
        <f t="shared" ref="M2:O2" si="1">IFERROR(N61&amp;"+",0)</f>
        <v>5+</v>
      </c>
      <c r="N2" s="21" t="str">
        <f t="shared" si="1"/>
        <v>5+</v>
      </c>
      <c r="O2" s="21" t="str">
        <f t="shared" si="1"/>
        <v>10+</v>
      </c>
      <c r="P2" s="344" t="str">
        <f>IFERROR((IF(AW2="YES",(VLOOKUP($BP$1&amp;D2,Teams!D:M,7,0)&amp;BG2),AX2)),"")</f>
        <v>Always Hungry, Loner (3+), Mighty Blow (+1), Projectile Vomit, Really Stupid, Regeneration, Throw Team-mate</v>
      </c>
      <c r="Q2" s="345"/>
      <c r="R2" s="345"/>
      <c r="S2" s="345"/>
      <c r="T2" s="345"/>
      <c r="U2" s="345"/>
      <c r="V2" s="345"/>
      <c r="W2" s="345"/>
      <c r="X2" s="345"/>
      <c r="Y2" s="345"/>
      <c r="Z2" s="346"/>
      <c r="AA2" s="61"/>
      <c r="AB2" s="61"/>
      <c r="AC2" s="62"/>
      <c r="AD2" s="62"/>
      <c r="AE2" s="62"/>
      <c r="AF2" s="63"/>
      <c r="AG2" s="63"/>
      <c r="AH2" s="63"/>
      <c r="AI2" s="63"/>
      <c r="AJ2" s="64"/>
      <c r="AK2" s="311">
        <f t="shared" ref="AK2" si="2">AB2+AC2+(AD2*3)+AE2+(AF2*2)+(AG2*2)+(AH2*2)+(AI2*2)+(AJ2*4)</f>
        <v>0</v>
      </c>
      <c r="AL2" s="312"/>
      <c r="AM2" s="311">
        <f t="shared" ref="AM2:AM16" si="3">AK2-AJ37</f>
        <v>0</v>
      </c>
      <c r="AN2" s="312"/>
      <c r="AO2" s="311">
        <f>IFERROR((VLOOKUP($BP$1&amp;D2,Teams!D:M,8,0)+AH37),0)</f>
        <v>115000</v>
      </c>
      <c r="AP2" s="312"/>
      <c r="AQ2" s="390"/>
      <c r="AR2" s="7">
        <f>IFERROR((IF(AA2&lt;&gt;"",0,((VLOOKUP($BP$1&amp;D2,Teams!D:M,9,0)+(AH37/1000)-(AB37/1000))))),0)</f>
        <v>115</v>
      </c>
      <c r="AS2" s="8">
        <f>IFERROR((VLOOKUP($BP$1&amp;D2,Teams!D:N,11,0)),0)</f>
        <v>1</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Black Orc1</v>
      </c>
      <c r="BK2" t="str">
        <f>IFERROR(IF((VLOOKUP(BJ2,Teams!B:C,2,FALSE))=0,"",(VLOOKUP(BJ2,Teams!B:C,2,FALSE))),"")</f>
        <v/>
      </c>
      <c r="BL2" s="8"/>
      <c r="BN2" s="10"/>
      <c r="BO2" s="10" t="s">
        <v>35</v>
      </c>
      <c r="BP2" s="8" t="str">
        <f>INDEX(BO3:BO36,(SUM(BZ2:CC2)))</f>
        <v>BlackOrc</v>
      </c>
      <c r="BQ2" s="10" t="s">
        <v>36</v>
      </c>
      <c r="BR2" s="10" t="s">
        <v>37</v>
      </c>
      <c r="BS2" s="10" t="s">
        <v>38</v>
      </c>
      <c r="BT2" s="11" t="s">
        <v>39</v>
      </c>
      <c r="BU2" s="11" t="s">
        <v>40</v>
      </c>
      <c r="BV2" s="9" t="str">
        <f>VLOOKUP(BP1,BM:BU,9,FALSE)</f>
        <v>BadlandsBrawl</v>
      </c>
      <c r="BW2" s="9" t="str">
        <f>VLOOKUP(BP1,BM1:BV38,10,FALSE)</f>
        <v>Bribery and Corruption</v>
      </c>
      <c r="BX2" s="9">
        <f>VLOOKUP(BP1,BM1:BW38,11,FALSE)</f>
        <v>0</v>
      </c>
      <c r="BY2" s="8"/>
      <c r="BZ2" s="10">
        <f>IFERROR(MATCH($K$23,BZ3:BZ50,0),0)</f>
        <v>3</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1" t="s">
        <v>1834</v>
      </c>
      <c r="C3" s="322"/>
      <c r="D3" s="357" t="s">
        <v>46</v>
      </c>
      <c r="E3" s="314"/>
      <c r="F3" s="314"/>
      <c r="G3" s="314"/>
      <c r="H3" s="18">
        <f>IF(D3="",0,(COUNTIF(D2:G17,D3)))</f>
        <v>6</v>
      </c>
      <c r="I3" s="19" t="s">
        <v>34</v>
      </c>
      <c r="J3" s="20">
        <f>IFERROR((VLOOKUP($BP$1&amp;D3,Teams!D:M,10,0)),0)</f>
        <v>6</v>
      </c>
      <c r="K3" s="21">
        <f t="shared" ref="K3:L3" si="10">IFERROR(L62,0)</f>
        <v>4</v>
      </c>
      <c r="L3" s="21">
        <f t="shared" si="10"/>
        <v>4</v>
      </c>
      <c r="M3" s="21" t="str">
        <f t="shared" ref="M3:O3" si="11">IFERROR(N62&amp;"+",0)</f>
        <v>4+</v>
      </c>
      <c r="N3" s="21" t="str">
        <f t="shared" si="11"/>
        <v>5+</v>
      </c>
      <c r="O3" s="21" t="str">
        <f t="shared" si="11"/>
        <v>10+</v>
      </c>
      <c r="P3" s="344" t="str">
        <f>IFERROR((IF(AW3="YES",(VLOOKUP($BP$1&amp;D3,Teams!D:M,7,0)&amp;BG3),AX3)),"")</f>
        <v>Brawler, Grab</v>
      </c>
      <c r="Q3" s="345"/>
      <c r="R3" s="345"/>
      <c r="S3" s="345"/>
      <c r="T3" s="345"/>
      <c r="U3" s="345"/>
      <c r="V3" s="345"/>
      <c r="W3" s="345"/>
      <c r="X3" s="345"/>
      <c r="Y3" s="345"/>
      <c r="Z3" s="346"/>
      <c r="AA3" s="61"/>
      <c r="AB3" s="61"/>
      <c r="AC3" s="62"/>
      <c r="AD3" s="62"/>
      <c r="AE3" s="62"/>
      <c r="AF3" s="63"/>
      <c r="AG3" s="63"/>
      <c r="AH3" s="63"/>
      <c r="AI3" s="63"/>
      <c r="AJ3" s="63"/>
      <c r="AK3" s="311">
        <f t="shared" ref="AK3:AK16" si="12">AB3+AC3+(AD3*3)+AE3+(AF3*2)+(AG3*2)+(AH3*2)+(AI3*2)+(AJ3*4)</f>
        <v>0</v>
      </c>
      <c r="AL3" s="312"/>
      <c r="AM3" s="311">
        <f t="shared" si="3"/>
        <v>0</v>
      </c>
      <c r="AN3" s="312"/>
      <c r="AO3" s="311">
        <f>IFERROR((VLOOKUP($BP$1&amp;D3,Teams!D:M,8,0)+AH38),0)</f>
        <v>90000</v>
      </c>
      <c r="AP3" s="312"/>
      <c r="AQ3" s="390"/>
      <c r="AR3" s="7">
        <f>IFERROR((IF(AA3&lt;&gt;"",0,((VLOOKUP($BP$1&amp;D3,Teams!D:M,9,0)+(AH38/1000)-(AB38/1000))))),0)</f>
        <v>90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Black Orc2</v>
      </c>
      <c r="BK3" t="str">
        <f>IFERROR(IF((VLOOKUP(BJ3,Teams!B:C,2,FALSE))=0,"",(VLOOKUP(BJ3,Teams!B:C,2,FALSE))),"")</f>
        <v>Goblin Bruiser</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1" t="s">
        <v>1835</v>
      </c>
      <c r="C4" s="322"/>
      <c r="D4" s="357" t="s">
        <v>46</v>
      </c>
      <c r="E4" s="314"/>
      <c r="F4" s="314"/>
      <c r="G4" s="314"/>
      <c r="H4" s="18">
        <f>IF(D4="",0,(COUNTIF(D2:G17,D4)))</f>
        <v>6</v>
      </c>
      <c r="I4" s="19" t="s">
        <v>34</v>
      </c>
      <c r="J4" s="20">
        <f>IFERROR((VLOOKUP($BP$1&amp;D4,Teams!D:M,10,0)),0)</f>
        <v>6</v>
      </c>
      <c r="K4" s="21">
        <f t="shared" ref="K4:L4" si="20">IFERROR(L63,0)</f>
        <v>4</v>
      </c>
      <c r="L4" s="21">
        <f t="shared" si="20"/>
        <v>4</v>
      </c>
      <c r="M4" s="21" t="str">
        <f t="shared" ref="M4:O4" si="21">IFERROR(N63&amp;"+",0)</f>
        <v>5+</v>
      </c>
      <c r="N4" s="21" t="str">
        <f t="shared" si="21"/>
        <v>5+</v>
      </c>
      <c r="O4" s="21" t="str">
        <f t="shared" si="21"/>
        <v>10+</v>
      </c>
      <c r="P4" s="344" t="str">
        <f>IFERROR((IF(AW4="YES",(VLOOKUP($BP$1&amp;D4,Teams!D:M,7,0)&amp;BG4),AX4)),"")</f>
        <v>Brawler, Grab, Juggernaut</v>
      </c>
      <c r="Q4" s="345"/>
      <c r="R4" s="345"/>
      <c r="S4" s="345"/>
      <c r="T4" s="345"/>
      <c r="U4" s="345"/>
      <c r="V4" s="345"/>
      <c r="W4" s="345"/>
      <c r="X4" s="345"/>
      <c r="Y4" s="345"/>
      <c r="Z4" s="346"/>
      <c r="AA4" s="61"/>
      <c r="AB4" s="61"/>
      <c r="AC4" s="62"/>
      <c r="AD4" s="62"/>
      <c r="AE4" s="62"/>
      <c r="AF4" s="63"/>
      <c r="AG4" s="63"/>
      <c r="AH4" s="63"/>
      <c r="AI4" s="63"/>
      <c r="AJ4" s="64">
        <v>1</v>
      </c>
      <c r="AK4" s="311">
        <f t="shared" si="12"/>
        <v>4</v>
      </c>
      <c r="AL4" s="312"/>
      <c r="AM4" s="311">
        <f t="shared" si="3"/>
        <v>1</v>
      </c>
      <c r="AN4" s="312"/>
      <c r="AO4" s="311">
        <f>IFERROR((VLOOKUP($BP$1&amp;D4,Teams!D:M,8,0)+AH39),0)</f>
        <v>100000</v>
      </c>
      <c r="AP4" s="312"/>
      <c r="AQ4" s="390"/>
      <c r="AR4" s="7">
        <f>IFERROR((IF(AA4&lt;&gt;"",0,((VLOOKUP($BP$1&amp;D4,Teams!D:M,9,0)+(AH39/1000)-(AB39/1000))))),0)</f>
        <v>100</v>
      </c>
      <c r="AS4" s="8">
        <f>IFERROR((VLOOKUP($BP$1&amp;D4,Teams!D:N,11,0)),0)</f>
        <v>0</v>
      </c>
      <c r="AT4" s="8" t="str">
        <f t="shared" si="4"/>
        <v/>
      </c>
      <c r="AU4" s="8" t="str">
        <f t="shared" si="5"/>
        <v/>
      </c>
      <c r="AV4" s="8" t="str">
        <f t="shared" si="6"/>
        <v/>
      </c>
      <c r="AW4" s="8" t="str">
        <f t="shared" si="7"/>
        <v>YES</v>
      </c>
      <c r="AX4" s="8" t="str">
        <f t="shared" si="8"/>
        <v/>
      </c>
      <c r="AY4" s="22" t="str">
        <f t="shared" si="13"/>
        <v>, Juggernaut</v>
      </c>
      <c r="AZ4" s="22" t="str">
        <f t="shared" si="14"/>
        <v/>
      </c>
      <c r="BA4" s="22" t="str">
        <f t="shared" si="15"/>
        <v/>
      </c>
      <c r="BB4" s="22" t="str">
        <f t="shared" si="16"/>
        <v/>
      </c>
      <c r="BC4" s="22" t="str">
        <f t="shared" si="17"/>
        <v/>
      </c>
      <c r="BD4" s="22" t="str">
        <f t="shared" si="18"/>
        <v/>
      </c>
      <c r="BE4" s="22"/>
      <c r="BF4" s="22" t="str">
        <f t="shared" si="19"/>
        <v/>
      </c>
      <c r="BG4" s="23" t="str">
        <f t="shared" si="9"/>
        <v>, Juggernaut</v>
      </c>
      <c r="BH4" t="str">
        <f>IFERROR((IF((VLOOKUP($BP$1&amp;D4,Teams!D:M,7,0))="","",", ")),"")</f>
        <v xml:space="preserve">, </v>
      </c>
      <c r="BJ4" s="8" t="str">
        <f>$BP$1&amp;3</f>
        <v>Black Orc3</v>
      </c>
      <c r="BK4" t="str">
        <f>IFERROR(IF((VLOOKUP(BJ4,Teams!B:C,2,FALSE))=0,"",(VLOOKUP(BJ4,Teams!B:C,2,FALSE))),"")</f>
        <v>Black Orc</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1" t="s">
        <v>1836</v>
      </c>
      <c r="C5" s="322"/>
      <c r="D5" s="333" t="s">
        <v>46</v>
      </c>
      <c r="E5" s="365"/>
      <c r="F5" s="365"/>
      <c r="G5" s="334"/>
      <c r="H5" s="18">
        <f>IF(D5="",0,(COUNTIF(D2:G17,D5)))</f>
        <v>6</v>
      </c>
      <c r="I5" s="19" t="s">
        <v>34</v>
      </c>
      <c r="J5" s="20">
        <f>IFERROR((VLOOKUP($BP$1&amp;D5,Teams!D:M,10,0)),0)</f>
        <v>6</v>
      </c>
      <c r="K5" s="21">
        <f t="shared" ref="K5:L5" si="23">IFERROR(L64,0)</f>
        <v>4</v>
      </c>
      <c r="L5" s="21">
        <f t="shared" si="23"/>
        <v>4</v>
      </c>
      <c r="M5" s="21" t="str">
        <f t="shared" ref="M5:O5" si="24">IFERROR(N64&amp;"+",0)</f>
        <v>4+</v>
      </c>
      <c r="N5" s="21" t="str">
        <f t="shared" si="24"/>
        <v>5+</v>
      </c>
      <c r="O5" s="21" t="str">
        <f t="shared" si="24"/>
        <v>10+</v>
      </c>
      <c r="P5" s="344" t="str">
        <f>IFERROR((IF(AW5="YES",(VLOOKUP($BP$1&amp;D5,Teams!D:M,7,0)&amp;BG5),AX5)),"")</f>
        <v>Brawler, Grab, Arm Bar</v>
      </c>
      <c r="Q5" s="345"/>
      <c r="R5" s="345"/>
      <c r="S5" s="345"/>
      <c r="T5" s="345"/>
      <c r="U5" s="345"/>
      <c r="V5" s="345"/>
      <c r="W5" s="345"/>
      <c r="X5" s="345"/>
      <c r="Y5" s="345"/>
      <c r="Z5" s="346"/>
      <c r="AA5" s="61"/>
      <c r="AB5" s="61"/>
      <c r="AC5" s="62"/>
      <c r="AD5" s="62"/>
      <c r="AE5" s="62"/>
      <c r="AF5" s="63"/>
      <c r="AG5" s="63"/>
      <c r="AH5" s="63"/>
      <c r="AI5" s="63"/>
      <c r="AJ5" s="63">
        <v>1</v>
      </c>
      <c r="AK5" s="311">
        <f t="shared" si="12"/>
        <v>4</v>
      </c>
      <c r="AL5" s="312"/>
      <c r="AM5" s="311">
        <f t="shared" si="3"/>
        <v>1</v>
      </c>
      <c r="AN5" s="312"/>
      <c r="AO5" s="311">
        <f>IFERROR((VLOOKUP($BP$1&amp;D5,Teams!D:M,8,0)+AH40),0)</f>
        <v>100000</v>
      </c>
      <c r="AP5" s="312"/>
      <c r="AQ5" s="390"/>
      <c r="AR5" s="7">
        <f>IFERROR((IF(AA5&lt;&gt;"",0,((VLOOKUP($BP$1&amp;D5,Teams!D:M,9,0)+(AH40/1000)-(AB40/1000))))),0)</f>
        <v>100</v>
      </c>
      <c r="AS5" s="8">
        <f>IFERROR((VLOOKUP($BP$1&amp;D5,Teams!D:N,11,0)),0)</f>
        <v>0</v>
      </c>
      <c r="AT5" s="8" t="str">
        <f t="shared" si="4"/>
        <v/>
      </c>
      <c r="AU5" s="8" t="str">
        <f t="shared" si="5"/>
        <v/>
      </c>
      <c r="AV5" s="8" t="str">
        <f t="shared" si="6"/>
        <v/>
      </c>
      <c r="AW5" s="8" t="str">
        <f t="shared" si="7"/>
        <v>YES</v>
      </c>
      <c r="AX5" s="8" t="str">
        <f t="shared" si="8"/>
        <v/>
      </c>
      <c r="AY5" s="22" t="str">
        <f t="shared" si="13"/>
        <v>, Arm Bar</v>
      </c>
      <c r="AZ5" s="22" t="str">
        <f t="shared" si="14"/>
        <v/>
      </c>
      <c r="BA5" s="22" t="str">
        <f t="shared" si="15"/>
        <v/>
      </c>
      <c r="BB5" s="22" t="str">
        <f t="shared" si="16"/>
        <v/>
      </c>
      <c r="BC5" s="22" t="str">
        <f t="shared" si="17"/>
        <v/>
      </c>
      <c r="BD5" s="22" t="str">
        <f t="shared" si="18"/>
        <v/>
      </c>
      <c r="BE5" s="22"/>
      <c r="BF5" s="22" t="str">
        <f t="shared" si="19"/>
        <v/>
      </c>
      <c r="BG5" s="23" t="str">
        <f t="shared" si="9"/>
        <v>, Arm Bar</v>
      </c>
      <c r="BH5" t="str">
        <f>IFERROR((IF((VLOOKUP($BP$1&amp;D5,Teams!D:M,7,0))="","",", ")),"")</f>
        <v xml:space="preserve">, </v>
      </c>
      <c r="BJ5" s="8" t="str">
        <f>$BP$1&amp;4</f>
        <v>Black Orc4</v>
      </c>
      <c r="BK5" t="str">
        <f>IFERROR(IF((VLOOKUP(BJ5,Teams!B:C,2,FALSE))=0,"",(VLOOKUP(BJ5,Teams!B:C,2,FALSE))),"")</f>
        <v>Trained Troll</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1" t="s">
        <v>1837</v>
      </c>
      <c r="C6" s="322"/>
      <c r="D6" s="333" t="s">
        <v>46</v>
      </c>
      <c r="E6" s="365"/>
      <c r="F6" s="365"/>
      <c r="G6" s="334"/>
      <c r="H6" s="18">
        <f>IF(D6="",0,(COUNTIF(D2:G17,D6)))</f>
        <v>6</v>
      </c>
      <c r="I6" s="19" t="s">
        <v>34</v>
      </c>
      <c r="J6" s="20">
        <f>IFERROR((VLOOKUP($BP$1&amp;D6,Teams!D:M,10,0)),0)</f>
        <v>6</v>
      </c>
      <c r="K6" s="21">
        <f t="shared" ref="K6:L6" si="25">IFERROR(L65,0)</f>
        <v>4</v>
      </c>
      <c r="L6" s="21">
        <f t="shared" si="25"/>
        <v>4</v>
      </c>
      <c r="M6" s="21" t="str">
        <f t="shared" ref="M6:O6" si="26">IFERROR(N65&amp;"+",0)</f>
        <v>4+</v>
      </c>
      <c r="N6" s="21" t="str">
        <f t="shared" si="26"/>
        <v>5+</v>
      </c>
      <c r="O6" s="21" t="str">
        <f t="shared" si="26"/>
        <v>10+</v>
      </c>
      <c r="P6" s="344" t="str">
        <f>IFERROR((IF(AW6="YES",(VLOOKUP($BP$1&amp;D6,Teams!D:M,7,0)&amp;BG6),AX6)),"")</f>
        <v>Brawler, Grab</v>
      </c>
      <c r="Q6" s="345"/>
      <c r="R6" s="345"/>
      <c r="S6" s="345"/>
      <c r="T6" s="345"/>
      <c r="U6" s="345"/>
      <c r="V6" s="345"/>
      <c r="W6" s="345"/>
      <c r="X6" s="345"/>
      <c r="Y6" s="345"/>
      <c r="Z6" s="346"/>
      <c r="AA6" s="61"/>
      <c r="AB6" s="61"/>
      <c r="AC6" s="62"/>
      <c r="AD6" s="62"/>
      <c r="AE6" s="62"/>
      <c r="AF6" s="63"/>
      <c r="AG6" s="63"/>
      <c r="AH6" s="63"/>
      <c r="AI6" s="63"/>
      <c r="AJ6" s="63"/>
      <c r="AK6" s="311">
        <f t="shared" si="12"/>
        <v>0</v>
      </c>
      <c r="AL6" s="312"/>
      <c r="AM6" s="311">
        <f t="shared" si="3"/>
        <v>0</v>
      </c>
      <c r="AN6" s="312"/>
      <c r="AO6" s="311">
        <f>IFERROR((VLOOKUP($BP$1&amp;D6,Teams!D:M,8,0)+AH41),0)</f>
        <v>90000</v>
      </c>
      <c r="AP6" s="312"/>
      <c r="AQ6" s="390"/>
      <c r="AR6" s="7">
        <f>IFERROR((IF(AA6&lt;&gt;"",0,((VLOOKUP($BP$1&amp;D6,Teams!D:M,9,0)+(AH41/1000)-(AB41/1000))))),0)</f>
        <v>90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Black Orc5</v>
      </c>
      <c r="BK6" t="str">
        <f>IFERROR(IF((VLOOKUP(BJ6,Teams!B:C,2,FALSE))=0,"",(VLOOKUP(BJ6,Teams!B:C,2,FALSE))),"")</f>
        <v>Journey Goblin</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1" t="s">
        <v>1838</v>
      </c>
      <c r="C7" s="322"/>
      <c r="D7" s="333" t="s">
        <v>46</v>
      </c>
      <c r="E7" s="365"/>
      <c r="F7" s="365"/>
      <c r="G7" s="334"/>
      <c r="H7" s="18">
        <f>IF(D7="",0,(COUNTIF(D2:G17,D7)))</f>
        <v>6</v>
      </c>
      <c r="I7" s="19" t="s">
        <v>34</v>
      </c>
      <c r="J7" s="20">
        <f>IFERROR((VLOOKUP($BP$1&amp;D7,Teams!D:M,10,0)),0)</f>
        <v>6</v>
      </c>
      <c r="K7" s="21">
        <f t="shared" ref="K7:L7" si="27">IFERROR(L66,0)</f>
        <v>4</v>
      </c>
      <c r="L7" s="21">
        <f t="shared" si="27"/>
        <v>4</v>
      </c>
      <c r="M7" s="21" t="str">
        <f t="shared" ref="M7:O7" si="28">IFERROR(N66&amp;"+",0)</f>
        <v>4+</v>
      </c>
      <c r="N7" s="21" t="str">
        <f t="shared" si="28"/>
        <v>5+</v>
      </c>
      <c r="O7" s="21" t="str">
        <f t="shared" si="28"/>
        <v>10+</v>
      </c>
      <c r="P7" s="344" t="str">
        <f>IFERROR((IF(AW7="YES",(VLOOKUP($BP$1&amp;D7,Teams!D:M,7,0)&amp;BG7),AX7)),"")</f>
        <v>Brawler, Grab</v>
      </c>
      <c r="Q7" s="345"/>
      <c r="R7" s="345"/>
      <c r="S7" s="345"/>
      <c r="T7" s="345"/>
      <c r="U7" s="345"/>
      <c r="V7" s="345"/>
      <c r="W7" s="345"/>
      <c r="X7" s="345"/>
      <c r="Y7" s="345"/>
      <c r="Z7" s="346"/>
      <c r="AA7" s="61"/>
      <c r="AB7" s="61"/>
      <c r="AC7" s="62"/>
      <c r="AD7" s="62"/>
      <c r="AE7" s="62"/>
      <c r="AF7" s="63"/>
      <c r="AG7" s="63"/>
      <c r="AH7" s="63"/>
      <c r="AI7" s="63"/>
      <c r="AJ7" s="63"/>
      <c r="AK7" s="311">
        <f t="shared" si="12"/>
        <v>0</v>
      </c>
      <c r="AL7" s="312"/>
      <c r="AM7" s="311">
        <f t="shared" si="3"/>
        <v>0</v>
      </c>
      <c r="AN7" s="312"/>
      <c r="AO7" s="311">
        <f>IFERROR((VLOOKUP($BP$1&amp;D7,Teams!D:M,8,0)+AH42),0)</f>
        <v>90000</v>
      </c>
      <c r="AP7" s="312"/>
      <c r="AQ7" s="390"/>
      <c r="AR7" s="7">
        <f>IFERROR((IF(AA7&lt;&gt;"",0,((VLOOKUP($BP$1&amp;D7,Teams!D:M,9,0)+(AH42/1000)-(AB42/1000))))),0)</f>
        <v>90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Black Orc6</v>
      </c>
      <c r="BK7" t="str">
        <f>IFERROR(IF((VLOOKUP(BJ7,Teams!B:C,2,FALSE))=0,"",(VLOOKUP(BJ7,Teams!B:C,2,FALSE))),"")</f>
        <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1" t="s">
        <v>1839</v>
      </c>
      <c r="C8" s="322"/>
      <c r="D8" s="333" t="s">
        <v>46</v>
      </c>
      <c r="E8" s="365"/>
      <c r="F8" s="365"/>
      <c r="G8" s="334"/>
      <c r="H8" s="18">
        <f>IF(D8="",0,(COUNTIF(D2:G17,D8)))</f>
        <v>6</v>
      </c>
      <c r="I8" s="19" t="s">
        <v>34</v>
      </c>
      <c r="J8" s="20">
        <f>IFERROR((VLOOKUP($BP$1&amp;D8,Teams!D:M,10,0)),0)</f>
        <v>6</v>
      </c>
      <c r="K8" s="21">
        <f t="shared" ref="K8:L8" si="30">IFERROR(L67,0)</f>
        <v>4</v>
      </c>
      <c r="L8" s="21">
        <f t="shared" si="30"/>
        <v>4</v>
      </c>
      <c r="M8" s="21" t="str">
        <f t="shared" ref="M8:O8" si="31">IFERROR(N67&amp;"+",0)</f>
        <v>4+</v>
      </c>
      <c r="N8" s="21" t="str">
        <f t="shared" si="31"/>
        <v>5+</v>
      </c>
      <c r="O8" s="21" t="str">
        <f t="shared" si="31"/>
        <v>10+</v>
      </c>
      <c r="P8" s="344" t="str">
        <f>IFERROR((IF(AW8="YES",(VLOOKUP($BP$1&amp;D8,Teams!D:M,7,0)&amp;BG8),AX8)),"")</f>
        <v>Brawler, Grab</v>
      </c>
      <c r="Q8" s="345"/>
      <c r="R8" s="345"/>
      <c r="S8" s="345"/>
      <c r="T8" s="345"/>
      <c r="U8" s="345"/>
      <c r="V8" s="345"/>
      <c r="W8" s="345"/>
      <c r="X8" s="345"/>
      <c r="Y8" s="345"/>
      <c r="Z8" s="346"/>
      <c r="AA8" s="61"/>
      <c r="AB8" s="61"/>
      <c r="AC8" s="62"/>
      <c r="AD8" s="62"/>
      <c r="AE8" s="62"/>
      <c r="AF8" s="63"/>
      <c r="AG8" s="63"/>
      <c r="AH8" s="63"/>
      <c r="AI8" s="63"/>
      <c r="AJ8" s="63"/>
      <c r="AK8" s="311">
        <f t="shared" si="12"/>
        <v>0</v>
      </c>
      <c r="AL8" s="312"/>
      <c r="AM8" s="311">
        <f t="shared" si="3"/>
        <v>0</v>
      </c>
      <c r="AN8" s="312"/>
      <c r="AO8" s="311">
        <f>IFERROR((VLOOKUP($BP$1&amp;D8,Teams!D:M,8,0)+AH43),0)</f>
        <v>90000</v>
      </c>
      <c r="AP8" s="312"/>
      <c r="AQ8" s="390"/>
      <c r="AR8" s="7">
        <f>IFERROR((IF(AA8&lt;&gt;"",0,((VLOOKUP($BP$1&amp;D8,Teams!D:M,9,0)+(AH43/1000)-(AB43/1000))))),0)</f>
        <v>90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Black Orc7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1" t="s">
        <v>1840</v>
      </c>
      <c r="C9" s="322"/>
      <c r="D9" s="333" t="s">
        <v>33</v>
      </c>
      <c r="E9" s="365"/>
      <c r="F9" s="365"/>
      <c r="G9" s="334"/>
      <c r="H9" s="18">
        <f>IF(D9="",0,(COUNTIF(D2:G17,D9)))</f>
        <v>4</v>
      </c>
      <c r="I9" s="19" t="s">
        <v>34</v>
      </c>
      <c r="J9" s="20">
        <f>IFERROR((VLOOKUP($BP$1&amp;D9,Teams!D:M,10,0)),0)</f>
        <v>12</v>
      </c>
      <c r="K9" s="21">
        <f t="shared" ref="K9:L9" si="32">IFERROR(L68,0)</f>
        <v>6</v>
      </c>
      <c r="L9" s="21">
        <f t="shared" si="32"/>
        <v>2</v>
      </c>
      <c r="M9" s="21" t="str">
        <f t="shared" ref="M9:O9" si="33">IFERROR(N68&amp;"+",0)</f>
        <v>3+</v>
      </c>
      <c r="N9" s="21" t="str">
        <f t="shared" si="33"/>
        <v>4+</v>
      </c>
      <c r="O9" s="21" t="str">
        <f t="shared" si="33"/>
        <v>8+</v>
      </c>
      <c r="P9" s="344" t="str">
        <f>IFERROR((IF(AW9="YES",(VLOOKUP($BP$1&amp;D9,Teams!D:M,7,0)&amp;BG9),AX9)),"")</f>
        <v>Dodge, Right Stuff, Stunty, Thick Skull - 1 NI</v>
      </c>
      <c r="Q9" s="345"/>
      <c r="R9" s="345"/>
      <c r="S9" s="345"/>
      <c r="T9" s="345"/>
      <c r="U9" s="345"/>
      <c r="V9" s="345"/>
      <c r="W9" s="345"/>
      <c r="X9" s="345"/>
      <c r="Y9" s="345"/>
      <c r="Z9" s="346"/>
      <c r="AA9" s="61"/>
      <c r="AB9" s="61"/>
      <c r="AC9" s="62"/>
      <c r="AD9" s="62"/>
      <c r="AE9" s="62"/>
      <c r="AF9" s="63"/>
      <c r="AG9" s="63"/>
      <c r="AH9" s="63"/>
      <c r="AI9" s="63"/>
      <c r="AJ9" s="63"/>
      <c r="AK9" s="311">
        <f t="shared" si="12"/>
        <v>0</v>
      </c>
      <c r="AL9" s="312"/>
      <c r="AM9" s="311">
        <f t="shared" si="3"/>
        <v>0</v>
      </c>
      <c r="AN9" s="312"/>
      <c r="AO9" s="311">
        <f>IFERROR((VLOOKUP($BP$1&amp;D9,Teams!D:M,8,0)+AH44),0)</f>
        <v>45000</v>
      </c>
      <c r="AP9" s="312"/>
      <c r="AQ9" s="390"/>
      <c r="AR9" s="7">
        <f>IFERROR((IF(AA9&lt;&gt;"",0,((VLOOKUP($BP$1&amp;D9,Teams!D:M,9,0)+(AH44/1000)-(AB44/1000))))),0)</f>
        <v>45</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xml:space="preserve"> - 1 NI</v>
      </c>
      <c r="BG9" s="23" t="str">
        <f t="shared" si="9"/>
        <v xml:space="preserve"> - 1 NI</v>
      </c>
      <c r="BH9" t="str">
        <f>IFERROR((IF((VLOOKUP($BP$1&amp;D9,Teams!D:M,7,0))="","",", ")),"")</f>
        <v xml:space="preserve">, </v>
      </c>
      <c r="BJ9" s="8" t="str">
        <f>$BP$1&amp;8</f>
        <v>Black Orc8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1" t="s">
        <v>1841</v>
      </c>
      <c r="C10" s="322"/>
      <c r="D10" s="333" t="s">
        <v>33</v>
      </c>
      <c r="E10" s="365"/>
      <c r="F10" s="365"/>
      <c r="G10" s="334"/>
      <c r="H10" s="18">
        <f>IF(D10="",0,(COUNTIF(D2:G17,D10)))</f>
        <v>4</v>
      </c>
      <c r="I10" s="19" t="s">
        <v>34</v>
      </c>
      <c r="J10" s="20">
        <f>IFERROR((VLOOKUP($BP$1&amp;D10,Teams!D:M,10,0)),0)</f>
        <v>12</v>
      </c>
      <c r="K10" s="21">
        <f t="shared" ref="K10:L10" si="34">IFERROR(L69,0)</f>
        <v>6</v>
      </c>
      <c r="L10" s="21">
        <f t="shared" si="34"/>
        <v>2</v>
      </c>
      <c r="M10" s="21" t="str">
        <f t="shared" ref="M10:O10" si="35">IFERROR(N69&amp;"+",0)</f>
        <v>3+</v>
      </c>
      <c r="N10" s="21" t="str">
        <f t="shared" si="35"/>
        <v>4+</v>
      </c>
      <c r="O10" s="21" t="str">
        <f t="shared" si="35"/>
        <v>8+</v>
      </c>
      <c r="P10" s="344" t="str">
        <f>IFERROR((IF(AW10="YES",(VLOOKUP($BP$1&amp;D10,Teams!D:M,7,0)&amp;BG10),AX10)),"")</f>
        <v>Dodge, Right Stuff, Stunty, Thick Skull, Jump Up</v>
      </c>
      <c r="Q10" s="345"/>
      <c r="R10" s="345"/>
      <c r="S10" s="345"/>
      <c r="T10" s="345"/>
      <c r="U10" s="345"/>
      <c r="V10" s="345"/>
      <c r="W10" s="345"/>
      <c r="X10" s="345"/>
      <c r="Y10" s="345"/>
      <c r="Z10" s="346"/>
      <c r="AA10" s="61"/>
      <c r="AB10" s="61"/>
      <c r="AC10" s="62">
        <v>1</v>
      </c>
      <c r="AD10" s="62">
        <v>1</v>
      </c>
      <c r="AE10" s="62"/>
      <c r="AF10" s="63"/>
      <c r="AG10" s="63"/>
      <c r="AH10" s="63"/>
      <c r="AI10" s="63"/>
      <c r="AJ10" s="63"/>
      <c r="AK10" s="311">
        <f t="shared" si="12"/>
        <v>4</v>
      </c>
      <c r="AL10" s="312"/>
      <c r="AM10" s="311">
        <f t="shared" si="3"/>
        <v>1</v>
      </c>
      <c r="AN10" s="312"/>
      <c r="AO10" s="311">
        <f>IFERROR((VLOOKUP($BP$1&amp;D10,Teams!D:M,8,0)+AH45),0)</f>
        <v>55000</v>
      </c>
      <c r="AP10" s="312"/>
      <c r="AQ10" s="390"/>
      <c r="AR10" s="7">
        <f>IFERROR((IF(AA10&lt;&gt;"",0,((VLOOKUP($BP$1&amp;D10,Teams!D:M,9,0)+(AH45/1000)-(AB45/1000))))),0)</f>
        <v>55</v>
      </c>
      <c r="AS10" s="8">
        <f>IFERROR((VLOOKUP($BP$1&amp;D10,Teams!D:N,11,0)),0)</f>
        <v>0</v>
      </c>
      <c r="AT10" s="8" t="str">
        <f t="shared" si="4"/>
        <v/>
      </c>
      <c r="AU10" s="8" t="str">
        <f t="shared" si="5"/>
        <v/>
      </c>
      <c r="AV10" s="8" t="str">
        <f t="shared" si="6"/>
        <v/>
      </c>
      <c r="AW10" s="8" t="str">
        <f t="shared" si="7"/>
        <v>YES</v>
      </c>
      <c r="AX10" s="8" t="str">
        <f t="shared" si="8"/>
        <v/>
      </c>
      <c r="AY10" s="22" t="str">
        <f t="shared" si="13"/>
        <v>, Jump Up</v>
      </c>
      <c r="AZ10" s="22" t="str">
        <f t="shared" si="14"/>
        <v/>
      </c>
      <c r="BA10" s="22" t="str">
        <f t="shared" si="15"/>
        <v/>
      </c>
      <c r="BB10" s="22" t="str">
        <f t="shared" si="16"/>
        <v/>
      </c>
      <c r="BC10" s="22" t="str">
        <f t="shared" si="17"/>
        <v/>
      </c>
      <c r="BD10" s="22" t="str">
        <f t="shared" si="18"/>
        <v/>
      </c>
      <c r="BE10" s="22"/>
      <c r="BF10" s="22" t="str">
        <f t="shared" si="19"/>
        <v/>
      </c>
      <c r="BG10" s="23" t="str">
        <f t="shared" si="9"/>
        <v>, Jump Up</v>
      </c>
      <c r="BH10" t="str">
        <f>IFERROR((IF((VLOOKUP($BP$1&amp;D10,Teams!D:M,7,0))="","",", ")),"")</f>
        <v xml:space="preserve">, </v>
      </c>
      <c r="BJ10" s="8" t="str">
        <f>$BP$1&amp;9</f>
        <v>Black Orc9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1" t="s">
        <v>1842</v>
      </c>
      <c r="C11" s="322"/>
      <c r="D11" s="333" t="s">
        <v>33</v>
      </c>
      <c r="E11" s="365"/>
      <c r="F11" s="365"/>
      <c r="G11" s="334"/>
      <c r="H11" s="18">
        <f>IF(D11="",0,(COUNTIF(D2:G17,D11)))</f>
        <v>4</v>
      </c>
      <c r="I11" s="19" t="s">
        <v>34</v>
      </c>
      <c r="J11" s="20">
        <f>IFERROR((VLOOKUP($BP$1&amp;D11,Teams!D:M,10,0)),0)</f>
        <v>12</v>
      </c>
      <c r="K11" s="21">
        <f t="shared" ref="K11:L11" si="36">IFERROR(L70,0)</f>
        <v>6</v>
      </c>
      <c r="L11" s="21">
        <f t="shared" si="36"/>
        <v>2</v>
      </c>
      <c r="M11" s="21" t="str">
        <f t="shared" ref="M11:O11" si="37">IFERROR(N70&amp;"+",0)</f>
        <v>3+</v>
      </c>
      <c r="N11" s="21" t="str">
        <f t="shared" si="37"/>
        <v>4+</v>
      </c>
      <c r="O11" s="21" t="str">
        <f t="shared" si="37"/>
        <v>8+</v>
      </c>
      <c r="P11" s="344" t="str">
        <f>IFERROR((IF(AW11="YES",(VLOOKUP($BP$1&amp;D11,Teams!D:M,7,0)&amp;BG11),AX11)),"")</f>
        <v>Dodge, Right Stuff, Stunty, Thick Skull</v>
      </c>
      <c r="Q11" s="345"/>
      <c r="R11" s="345"/>
      <c r="S11" s="345"/>
      <c r="T11" s="345"/>
      <c r="U11" s="345"/>
      <c r="V11" s="345"/>
      <c r="W11" s="345"/>
      <c r="X11" s="345"/>
      <c r="Y11" s="345"/>
      <c r="Z11" s="346"/>
      <c r="AA11" s="61"/>
      <c r="AB11" s="61"/>
      <c r="AC11" s="62"/>
      <c r="AD11" s="62"/>
      <c r="AE11" s="62"/>
      <c r="AF11" s="63"/>
      <c r="AG11" s="63"/>
      <c r="AH11" s="63"/>
      <c r="AI11" s="63"/>
      <c r="AJ11" s="63"/>
      <c r="AK11" s="311">
        <f t="shared" si="12"/>
        <v>0</v>
      </c>
      <c r="AL11" s="312"/>
      <c r="AM11" s="311">
        <f t="shared" si="3"/>
        <v>0</v>
      </c>
      <c r="AN11" s="312"/>
      <c r="AO11" s="311">
        <f>IFERROR((VLOOKUP($BP$1&amp;D11,Teams!D:M,8,0)+AH46),0)</f>
        <v>45000</v>
      </c>
      <c r="AP11" s="312"/>
      <c r="AQ11" s="390"/>
      <c r="AR11" s="7">
        <f>IFERROR((IF(AA11&lt;&gt;"",0,((VLOOKUP($BP$1&amp;D11,Teams!D:M,9,0)+(AH46/1000)-(AB46/1000))))),0)</f>
        <v>45</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Black Orc10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1" t="s">
        <v>1843</v>
      </c>
      <c r="C12" s="322"/>
      <c r="D12" s="333" t="s">
        <v>33</v>
      </c>
      <c r="E12" s="365"/>
      <c r="F12" s="365"/>
      <c r="G12" s="334"/>
      <c r="H12" s="18">
        <f>IF(D12="",0,(COUNTIF(D2:G17,D12)))</f>
        <v>4</v>
      </c>
      <c r="I12" s="19" t="s">
        <v>34</v>
      </c>
      <c r="J12" s="20">
        <f>IFERROR((VLOOKUP($BP$1&amp;D12,Teams!D:M,10,0)),0)</f>
        <v>12</v>
      </c>
      <c r="K12" s="21">
        <f t="shared" ref="K12:L12" si="38">IFERROR(L71,0)</f>
        <v>6</v>
      </c>
      <c r="L12" s="21">
        <f t="shared" si="38"/>
        <v>2</v>
      </c>
      <c r="M12" s="21" t="str">
        <f t="shared" ref="M12:O12" si="39">IFERROR(N71&amp;"+",0)</f>
        <v>3+</v>
      </c>
      <c r="N12" s="21" t="str">
        <f t="shared" si="39"/>
        <v>4+</v>
      </c>
      <c r="O12" s="21" t="str">
        <f t="shared" si="39"/>
        <v>8+</v>
      </c>
      <c r="P12" s="344" t="str">
        <f>IFERROR((IF(AW12="YES",(VLOOKUP($BP$1&amp;D12,Teams!D:M,7,0)&amp;BG12),AX12)),"")</f>
        <v>Dodge, Right Stuff, Stunty, Thick Skull, Diving Catch</v>
      </c>
      <c r="Q12" s="345"/>
      <c r="R12" s="345"/>
      <c r="S12" s="345"/>
      <c r="T12" s="345"/>
      <c r="U12" s="345"/>
      <c r="V12" s="345"/>
      <c r="W12" s="345"/>
      <c r="X12" s="345"/>
      <c r="Y12" s="345"/>
      <c r="Z12" s="346"/>
      <c r="AA12" s="61"/>
      <c r="AB12" s="61"/>
      <c r="AC12" s="62"/>
      <c r="AD12" s="62">
        <v>1</v>
      </c>
      <c r="AE12" s="62"/>
      <c r="AF12" s="63"/>
      <c r="AG12" s="63"/>
      <c r="AH12" s="63"/>
      <c r="AI12" s="63"/>
      <c r="AJ12" s="63"/>
      <c r="AK12" s="311">
        <f t="shared" si="12"/>
        <v>3</v>
      </c>
      <c r="AL12" s="312"/>
      <c r="AM12" s="311">
        <f t="shared" si="3"/>
        <v>0</v>
      </c>
      <c r="AN12" s="312"/>
      <c r="AO12" s="311">
        <f>IFERROR((VLOOKUP($BP$1&amp;D12,Teams!D:M,8,0)+AH47),0)</f>
        <v>55000</v>
      </c>
      <c r="AP12" s="312"/>
      <c r="AQ12" s="390"/>
      <c r="AR12" s="7">
        <f>IFERROR((IF(AA12&lt;&gt;"",0,((VLOOKUP($BP$1&amp;D12,Teams!D:M,9,0)+(AH47/1000)-(AB47/1000))))),0)</f>
        <v>55</v>
      </c>
      <c r="AS12" s="8">
        <f>IFERROR((VLOOKUP($BP$1&amp;D12,Teams!D:N,11,0)),0)</f>
        <v>0</v>
      </c>
      <c r="AT12" s="8" t="str">
        <f t="shared" si="4"/>
        <v/>
      </c>
      <c r="AU12" s="8" t="str">
        <f t="shared" si="5"/>
        <v/>
      </c>
      <c r="AV12" s="8" t="str">
        <f t="shared" si="6"/>
        <v/>
      </c>
      <c r="AW12" s="8" t="str">
        <f t="shared" si="7"/>
        <v>YES</v>
      </c>
      <c r="AX12" s="8" t="str">
        <f t="shared" si="8"/>
        <v/>
      </c>
      <c r="AY12" s="22" t="str">
        <f t="shared" si="13"/>
        <v>, Diving Catch</v>
      </c>
      <c r="AZ12" s="22" t="str">
        <f t="shared" si="14"/>
        <v/>
      </c>
      <c r="BA12" s="22" t="str">
        <f t="shared" si="15"/>
        <v/>
      </c>
      <c r="BB12" s="22" t="str">
        <f t="shared" si="16"/>
        <v/>
      </c>
      <c r="BC12" s="22" t="str">
        <f t="shared" si="17"/>
        <v/>
      </c>
      <c r="BD12" s="22" t="str">
        <f t="shared" si="18"/>
        <v/>
      </c>
      <c r="BE12" s="22"/>
      <c r="BF12" s="22" t="str">
        <f t="shared" si="19"/>
        <v/>
      </c>
      <c r="BG12" s="23" t="str">
        <f t="shared" si="9"/>
        <v>, Diving Catch</v>
      </c>
      <c r="BH12" t="str">
        <f>IFERROR((IF((VLOOKUP($BP$1&amp;D12,Teams!D:M,7,0))="","",", ")),"")</f>
        <v xml:space="preserve">, </v>
      </c>
      <c r="BJ12" s="8" t="str">
        <f>$BP$1&amp;11</f>
        <v>Black Orc11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1" t="s">
        <v>1848</v>
      </c>
      <c r="C13" s="322"/>
      <c r="D13" s="333" t="s">
        <v>309</v>
      </c>
      <c r="E13" s="365"/>
      <c r="F13" s="365"/>
      <c r="G13" s="334"/>
      <c r="H13" s="18">
        <f>IF(D13="",0,(COUNTIF(D2:G17,D13)))</f>
        <v>3</v>
      </c>
      <c r="I13" s="19" t="s">
        <v>34</v>
      </c>
      <c r="J13" s="20">
        <f>IFERROR((VLOOKUP($BP$1&amp;D13,Teams!D:M,10,0)),0)</f>
        <v>11</v>
      </c>
      <c r="K13" s="21">
        <f t="shared" ref="K13:L13" si="40">IFERROR(L72,0)</f>
        <v>6</v>
      </c>
      <c r="L13" s="21">
        <f t="shared" si="40"/>
        <v>2</v>
      </c>
      <c r="M13" s="21" t="str">
        <f t="shared" ref="M13:O13" si="41">IFERROR(N72&amp;"+",0)</f>
        <v>3+</v>
      </c>
      <c r="N13" s="21" t="str">
        <f t="shared" si="41"/>
        <v>4+</v>
      </c>
      <c r="O13" s="21" t="str">
        <f t="shared" si="41"/>
        <v>8+</v>
      </c>
      <c r="P13" s="344" t="str">
        <f>IFERROR((IF(AW13="YES",(VLOOKUP($BP$1&amp;D13,Teams!D:M,7,0)&amp;BG13),AX13)),"")</f>
        <v>Loner (4+), Dodge, Right Stuff, Stunty, Thick Skull</v>
      </c>
      <c r="Q13" s="345"/>
      <c r="R13" s="345"/>
      <c r="S13" s="345"/>
      <c r="T13" s="345"/>
      <c r="U13" s="345"/>
      <c r="V13" s="345"/>
      <c r="W13" s="345"/>
      <c r="X13" s="345"/>
      <c r="Y13" s="345"/>
      <c r="Z13" s="346"/>
      <c r="AA13" s="61"/>
      <c r="AB13" s="61"/>
      <c r="AC13" s="62"/>
      <c r="AD13" s="62"/>
      <c r="AE13" s="62"/>
      <c r="AF13" s="63"/>
      <c r="AG13" s="63"/>
      <c r="AH13" s="63"/>
      <c r="AI13" s="63"/>
      <c r="AJ13" s="63"/>
      <c r="AK13" s="311">
        <f t="shared" si="12"/>
        <v>0</v>
      </c>
      <c r="AL13" s="312"/>
      <c r="AM13" s="311">
        <f t="shared" si="3"/>
        <v>0</v>
      </c>
      <c r="AN13" s="312"/>
      <c r="AO13" s="311">
        <f>IFERROR((VLOOKUP($BP$1&amp;D13,Teams!D:M,8,0)+AH48),0)</f>
        <v>0</v>
      </c>
      <c r="AP13" s="312"/>
      <c r="AQ13" s="390"/>
      <c r="AR13" s="7">
        <f>IFERROR((IF(AA13&lt;&gt;"",0,((VLOOKUP($BP$1&amp;D13,Teams!D:M,9,0)+(AH48/1000)-(AB48/1000))))),0)</f>
        <v>45</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Black Orc12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1" t="s">
        <v>1849</v>
      </c>
      <c r="C14" s="322"/>
      <c r="D14" s="321" t="s">
        <v>309</v>
      </c>
      <c r="E14" s="351"/>
      <c r="F14" s="351"/>
      <c r="G14" s="322"/>
      <c r="H14" s="18">
        <f>IF(D14="",0,(COUNTIF(D2:G17,D14)))</f>
        <v>3</v>
      </c>
      <c r="I14" s="19" t="s">
        <v>34</v>
      </c>
      <c r="J14" s="20">
        <f>IFERROR((VLOOKUP($BP$1&amp;D14,Teams!D:M,10,0)),0)</f>
        <v>11</v>
      </c>
      <c r="K14" s="21">
        <f t="shared" ref="K14:L14" si="42">IFERROR(L73,0)</f>
        <v>6</v>
      </c>
      <c r="L14" s="21">
        <f t="shared" si="42"/>
        <v>2</v>
      </c>
      <c r="M14" s="21" t="str">
        <f t="shared" ref="M14:O14" si="43">IFERROR(N73&amp;"+",0)</f>
        <v>3+</v>
      </c>
      <c r="N14" s="21" t="str">
        <f t="shared" si="43"/>
        <v>4+</v>
      </c>
      <c r="O14" s="21" t="str">
        <f t="shared" si="43"/>
        <v>8+</v>
      </c>
      <c r="P14" s="344" t="str">
        <f>IFERROR((IF(AW14="YES",(VLOOKUP($BP$1&amp;D14,Teams!D:M,7,0)&amp;BG14),AX14)),"")</f>
        <v>Loner (4+), Dodge, Right Stuff, Stunty, Thick Skull</v>
      </c>
      <c r="Q14" s="345"/>
      <c r="R14" s="345"/>
      <c r="S14" s="345"/>
      <c r="T14" s="345"/>
      <c r="U14" s="345"/>
      <c r="V14" s="345"/>
      <c r="W14" s="345"/>
      <c r="X14" s="345"/>
      <c r="Y14" s="345"/>
      <c r="Z14" s="346"/>
      <c r="AA14" s="61"/>
      <c r="AB14" s="61"/>
      <c r="AC14" s="62"/>
      <c r="AD14" s="62"/>
      <c r="AE14" s="62"/>
      <c r="AF14" s="63"/>
      <c r="AG14" s="63"/>
      <c r="AH14" s="63"/>
      <c r="AI14" s="63"/>
      <c r="AJ14" s="63"/>
      <c r="AK14" s="311">
        <f t="shared" si="12"/>
        <v>0</v>
      </c>
      <c r="AL14" s="312"/>
      <c r="AM14" s="311">
        <f t="shared" si="3"/>
        <v>0</v>
      </c>
      <c r="AN14" s="312"/>
      <c r="AO14" s="311">
        <f>IFERROR((VLOOKUP($BP$1&amp;D14,Teams!D:M,8,0)+AH49),0)</f>
        <v>0</v>
      </c>
      <c r="AP14" s="312"/>
      <c r="AQ14" s="390"/>
      <c r="AR14" s="7">
        <f>IFERROR((IF(AA14&lt;&gt;"",0,((VLOOKUP($BP$1&amp;D14,Teams!D:M,9,0)+(AH49/1000)-(AB49/1000))))),0)</f>
        <v>45</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Black Orc13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1" t="s">
        <v>1850</v>
      </c>
      <c r="C15" s="322"/>
      <c r="D15" s="321" t="s">
        <v>309</v>
      </c>
      <c r="E15" s="351"/>
      <c r="F15" s="351"/>
      <c r="G15" s="322"/>
      <c r="H15" s="18">
        <f>IF(D15="",0,(COUNTIF(D2:G17,D15)))</f>
        <v>3</v>
      </c>
      <c r="I15" s="19" t="s">
        <v>34</v>
      </c>
      <c r="J15" s="20">
        <f>IFERROR((VLOOKUP($BP$1&amp;D15,Teams!D:M,10,0)),0)</f>
        <v>11</v>
      </c>
      <c r="K15" s="21">
        <f t="shared" ref="K15:L15" si="44">IFERROR(L74,0)</f>
        <v>6</v>
      </c>
      <c r="L15" s="21">
        <f t="shared" si="44"/>
        <v>2</v>
      </c>
      <c r="M15" s="21" t="str">
        <f t="shared" ref="M15:O15" si="45">IFERROR(N74&amp;"+",0)</f>
        <v>3+</v>
      </c>
      <c r="N15" s="21" t="str">
        <f t="shared" si="45"/>
        <v>4+</v>
      </c>
      <c r="O15" s="21" t="str">
        <f t="shared" si="45"/>
        <v>8+</v>
      </c>
      <c r="P15" s="344" t="str">
        <f>IFERROR((IF(AW15="YES",(VLOOKUP($BP$1&amp;D15,Teams!D:M,7,0)&amp;BG15),AX15)),"")</f>
        <v>Loner (4+), Dodge, Right Stuff, Stunty, Thick Skull</v>
      </c>
      <c r="Q15" s="345"/>
      <c r="R15" s="345"/>
      <c r="S15" s="345"/>
      <c r="T15" s="345"/>
      <c r="U15" s="345"/>
      <c r="V15" s="345"/>
      <c r="W15" s="345"/>
      <c r="X15" s="345"/>
      <c r="Y15" s="345"/>
      <c r="Z15" s="346"/>
      <c r="AA15" s="61"/>
      <c r="AB15" s="61"/>
      <c r="AC15" s="62"/>
      <c r="AD15" s="62"/>
      <c r="AE15" s="62"/>
      <c r="AF15" s="63"/>
      <c r="AG15" s="63"/>
      <c r="AH15" s="63"/>
      <c r="AI15" s="63"/>
      <c r="AJ15" s="63"/>
      <c r="AK15" s="311">
        <f t="shared" si="12"/>
        <v>0</v>
      </c>
      <c r="AL15" s="312"/>
      <c r="AM15" s="311">
        <f t="shared" si="3"/>
        <v>0</v>
      </c>
      <c r="AN15" s="312"/>
      <c r="AO15" s="311">
        <f>IFERROR((VLOOKUP($BP$1&amp;D15,Teams!D:M,8,0)+AH50),0)</f>
        <v>0</v>
      </c>
      <c r="AP15" s="312"/>
      <c r="AQ15" s="390"/>
      <c r="AR15" s="7">
        <f>IFERROR((IF(AA15&lt;&gt;"",0,((VLOOKUP($BP$1&amp;D15,Teams!D:M,9,0)+(AH50/1000)-(AB50/1000))))),0)</f>
        <v>45</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1"/>
      <c r="C16" s="322"/>
      <c r="D16" s="321"/>
      <c r="E16" s="351"/>
      <c r="F16" s="351"/>
      <c r="G16" s="322"/>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4" t="str">
        <f>IFERROR((IF(AW16="YES",(VLOOKUP($BP$1&amp;D16,Teams!D:M,7,0)&amp;BG16),AX16)),"")</f>
        <v>0</v>
      </c>
      <c r="Q16" s="345"/>
      <c r="R16" s="345"/>
      <c r="S16" s="345"/>
      <c r="T16" s="345"/>
      <c r="U16" s="345"/>
      <c r="V16" s="345"/>
      <c r="W16" s="345"/>
      <c r="X16" s="345"/>
      <c r="Y16" s="345"/>
      <c r="Z16" s="346"/>
      <c r="AA16" s="61"/>
      <c r="AB16" s="61"/>
      <c r="AC16" s="62"/>
      <c r="AD16" s="62"/>
      <c r="AE16" s="62"/>
      <c r="AF16" s="63"/>
      <c r="AG16" s="63"/>
      <c r="AH16" s="63"/>
      <c r="AI16" s="63"/>
      <c r="AJ16" s="63"/>
      <c r="AK16" s="311">
        <f t="shared" si="12"/>
        <v>0</v>
      </c>
      <c r="AL16" s="312"/>
      <c r="AM16" s="311">
        <f t="shared" si="3"/>
        <v>0</v>
      </c>
      <c r="AN16" s="312"/>
      <c r="AO16" s="311">
        <f>IFERROR((VLOOKUP($BP$1&amp;D16,Teams!D:M,8,0)+AH51),0)</f>
        <v>0</v>
      </c>
      <c r="AP16" s="312"/>
      <c r="AQ16" s="390"/>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c r="C17" s="322"/>
      <c r="D17" s="321"/>
      <c r="E17" s="351"/>
      <c r="F17" s="351"/>
      <c r="G17" s="322"/>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4" t="str">
        <f>IFERROR((IF(AW17="YES",(VLOOKUP($BP$1&amp;D17,Teams!D:M,7,0)&amp;BG17),AX17)),"")</f>
        <v>0</v>
      </c>
      <c r="Q17" s="345"/>
      <c r="R17" s="345"/>
      <c r="S17" s="345"/>
      <c r="T17" s="345"/>
      <c r="U17" s="345"/>
      <c r="V17" s="345"/>
      <c r="W17" s="345"/>
      <c r="X17" s="345"/>
      <c r="Y17" s="345"/>
      <c r="Z17" s="346"/>
      <c r="AA17" s="61"/>
      <c r="AB17" s="61"/>
      <c r="AC17" s="62"/>
      <c r="AD17" s="62"/>
      <c r="AE17" s="62"/>
      <c r="AF17" s="63"/>
      <c r="AG17" s="63"/>
      <c r="AH17" s="63"/>
      <c r="AI17" s="63"/>
      <c r="AJ17" s="63"/>
      <c r="AK17" s="311">
        <f>AB17+AC17+(AD17*3)+AE17+(AF17*2)+(AG17*2)+(AH17*2)+(AI17*2)+(AJ17*4)</f>
        <v>0</v>
      </c>
      <c r="AL17" s="312"/>
      <c r="AM17" s="311">
        <f>AK17-AJ52</f>
        <v>0</v>
      </c>
      <c r="AN17" s="312"/>
      <c r="AO17" s="311">
        <f>IFERROR((VLOOKUP($BP$1&amp;D17,Teams!D:M,8,0)+AH52),0)</f>
        <v>0</v>
      </c>
      <c r="AP17" s="312"/>
      <c r="AQ17" s="390"/>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09" t="str">
        <f>IF($K$25="Italiano","Star Player &amp; Mercenario",(IF($K$25="Español","Jugadores Estrella &amp; Mercenario",(IF($K$25="Français","Star Player &amp; Mercenaire",(IF($K$25="Deutsch","Starspielers &amp; Mercenary","Star Player &amp; Mercenary")))))))</f>
        <v>Star Player &amp; Mercenary</v>
      </c>
      <c r="C18" s="410"/>
      <c r="D18" s="404"/>
      <c r="E18" s="405"/>
      <c r="F18" s="405"/>
      <c r="G18" s="406"/>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7">
        <f>IFERROR((IF(H18&gt;J18,AT18,VLOOKUP(D18,StarPlayers!B:K,7,0))),0)</f>
        <v>0</v>
      </c>
      <c r="Q18" s="348"/>
      <c r="R18" s="348"/>
      <c r="S18" s="348"/>
      <c r="T18" s="348"/>
      <c r="U18" s="348"/>
      <c r="V18" s="348"/>
      <c r="W18" s="348"/>
      <c r="X18" s="348"/>
      <c r="Y18" s="348"/>
      <c r="Z18" s="312"/>
      <c r="AA18" s="347">
        <f>IFERROR((IF(H18&gt;J18,AT18,VLOOKUP(D18,StarPlayers!B:K,8,0))),0)</f>
        <v>0</v>
      </c>
      <c r="AB18" s="348"/>
      <c r="AC18" s="348"/>
      <c r="AD18" s="348"/>
      <c r="AE18" s="348"/>
      <c r="AF18" s="348"/>
      <c r="AG18" s="348"/>
      <c r="AH18" s="348"/>
      <c r="AI18" s="348"/>
      <c r="AJ18" s="348"/>
      <c r="AK18" s="348"/>
      <c r="AL18" s="348"/>
      <c r="AM18" s="348"/>
      <c r="AN18" s="312"/>
      <c r="AO18" s="311">
        <f>IFERROR((VLOOKUP(D18,StarPlayers!B:K,9,0)),0)</f>
        <v>0</v>
      </c>
      <c r="AP18" s="312"/>
      <c r="AQ18" s="39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09" t="str">
        <f>IF($K$25="Italiano","Star Player &amp; Mercenario",(IF($K$25="Español","Jugadores Estrella &amp; Mercenario",(IF($K$25="Français","Star Player &amp; Mercenaire",(IF($K$25="Deutsch","Starspielers &amp; Mercenary","Star Player &amp; Mercenary")))))))</f>
        <v>Star Player &amp; Mercenary</v>
      </c>
      <c r="C19" s="410"/>
      <c r="D19" s="404"/>
      <c r="E19" s="405"/>
      <c r="F19" s="405"/>
      <c r="G19" s="406"/>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7">
        <f>IFERROR((IF(H19&gt;J19,AT19,VLOOKUP(D19,StarPlayers!B:K,7,0))),0)</f>
        <v>0</v>
      </c>
      <c r="Q19" s="348"/>
      <c r="R19" s="348"/>
      <c r="S19" s="348"/>
      <c r="T19" s="348"/>
      <c r="U19" s="348"/>
      <c r="V19" s="348"/>
      <c r="W19" s="348"/>
      <c r="X19" s="348"/>
      <c r="Y19" s="348"/>
      <c r="Z19" s="312"/>
      <c r="AA19" s="347">
        <f>IFERROR((IF(H19&gt;J19,AT19,VLOOKUP(D19,StarPlayers!B:K,8,0))),0)</f>
        <v>0</v>
      </c>
      <c r="AB19" s="348"/>
      <c r="AC19" s="348"/>
      <c r="AD19" s="348"/>
      <c r="AE19" s="348"/>
      <c r="AF19" s="348"/>
      <c r="AG19" s="348"/>
      <c r="AH19" s="348"/>
      <c r="AI19" s="348"/>
      <c r="AJ19" s="348"/>
      <c r="AK19" s="348"/>
      <c r="AL19" s="348"/>
      <c r="AM19" s="348"/>
      <c r="AN19" s="312"/>
      <c r="AO19" s="311">
        <f>IFERROR((VLOOKUP(D19,StarPlayers!B:K,9,0)),0)</f>
        <v>0</v>
      </c>
      <c r="AP19" s="312"/>
      <c r="AQ19" s="39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09" t="str">
        <f>IF($K$25="Italiano","Mercenario",(IF($K$25="Español","Mercenario",(IF($K$25="Français","Mercenaire","Mercenary")))))</f>
        <v>Mercenary</v>
      </c>
      <c r="C20" s="410"/>
      <c r="D20" s="404"/>
      <c r="E20" s="405"/>
      <c r="F20" s="405"/>
      <c r="G20" s="406"/>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7">
        <f>IFERROR((IF(H20&gt;J20,AT20,VLOOKUP(D20,StarPlayers!B:K,7,0))),0)</f>
        <v>0</v>
      </c>
      <c r="Q20" s="348"/>
      <c r="R20" s="348"/>
      <c r="S20" s="348"/>
      <c r="T20" s="348"/>
      <c r="U20" s="348"/>
      <c r="V20" s="348"/>
      <c r="W20" s="348"/>
      <c r="X20" s="348"/>
      <c r="Y20" s="348"/>
      <c r="Z20" s="312"/>
      <c r="AA20" s="347">
        <f>IFERROR((IF(H20&gt;J20,AT20,VLOOKUP(D20,StarPlayers!B:K,8,0))),0)</f>
        <v>0</v>
      </c>
      <c r="AB20" s="348"/>
      <c r="AC20" s="348"/>
      <c r="AD20" s="348"/>
      <c r="AE20" s="348"/>
      <c r="AF20" s="348"/>
      <c r="AG20" s="348"/>
      <c r="AH20" s="348"/>
      <c r="AI20" s="348"/>
      <c r="AJ20" s="348"/>
      <c r="AK20" s="348"/>
      <c r="AL20" s="348"/>
      <c r="AM20" s="348"/>
      <c r="AN20" s="312"/>
      <c r="AO20" s="311">
        <f>IFERROR((VLOOKUP(D20,StarPlayers!B:K,9,0)),0)</f>
        <v>0</v>
      </c>
      <c r="AP20" s="312"/>
      <c r="AQ20" s="39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5"/>
      <c r="B21" s="396"/>
      <c r="C21" s="396"/>
      <c r="D21" s="362" t="str">
        <f>IF($K$25="Español","ESPÓNSOR","SPONSORS")</f>
        <v>SPONSORS</v>
      </c>
      <c r="E21" s="363"/>
      <c r="F21" s="363"/>
      <c r="G21" s="363"/>
      <c r="H21" s="363"/>
      <c r="I21" s="363"/>
      <c r="J21" s="363"/>
      <c r="K21" s="313" t="s">
        <v>126</v>
      </c>
      <c r="L21" s="314"/>
      <c r="M21" s="314"/>
      <c r="N21" s="314"/>
      <c r="O21" s="314"/>
      <c r="P21" s="314"/>
      <c r="Q21" s="314"/>
      <c r="R21" s="315"/>
      <c r="S21" s="316" t="str">
        <f>IF($K$25="Italiano","TIFOSI SFEGATAZI INIZIALI",(IF($K$25="Español","FANS DEVOTOS INICIALES",(IF($K$25="Deutsch","INITIAL TREUE FANS",(IF($K$25="Français","FANS DÉVOUÉS INITIAUX","INITIAL DEDICATED FANS")))))))</f>
        <v>INITIAL DEDICATED FANS</v>
      </c>
      <c r="T21" s="293"/>
      <c r="U21" s="293"/>
      <c r="V21" s="293"/>
      <c r="W21" s="294"/>
      <c r="X21" s="65">
        <v>1</v>
      </c>
      <c r="Y21" s="31" t="s">
        <v>127</v>
      </c>
      <c r="Z21" s="317">
        <v>10000</v>
      </c>
      <c r="AA21" s="318"/>
      <c r="AB21" s="32" t="str">
        <f t="shared" ref="AB21:AB31" si="51">IF($K$25="Español","mo",(IF($K$25="Deutsch","gm",(IF($K$25="Français","po","gp")))))</f>
        <v>gp</v>
      </c>
      <c r="AC21" s="319">
        <f>IFERROR(((IF(X21=0,0,(IF(X21=1,0,X21-1))))*Z21),0)</f>
        <v>0</v>
      </c>
      <c r="AD21" s="294"/>
      <c r="AE21" s="316" t="str">
        <f>IF($K$25="Italiano","REROLLS TOTALI",(IF($K$25="Español","SEGUNDAS OPORTUNIDADES TOTALES",(IF($K$25="Deutsch","TOTAL WIEDERHOLUNGSWÜRFE",(IF($K$25="Français","RELANCES TOTALES","TOTAL REROLLS")))))))</f>
        <v>TOTAL REROLLS</v>
      </c>
      <c r="AF21" s="293"/>
      <c r="AG21" s="293"/>
      <c r="AH21" s="293"/>
      <c r="AI21" s="294"/>
      <c r="AJ21" s="320">
        <f>AJ22+AJ23</f>
        <v>3</v>
      </c>
      <c r="AK21" s="293"/>
      <c r="AL21" s="293"/>
      <c r="AM21" s="293"/>
      <c r="AN21" s="293"/>
      <c r="AO21" s="293"/>
      <c r="AP21" s="294"/>
      <c r="AQ21" s="39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7"/>
      <c r="B22" s="398"/>
      <c r="C22" s="398"/>
      <c r="D22" s="362" t="str">
        <f>IF($K$25="Italiano","STADIO",(IF($K$25="Español","ESTADIO",(IF($K$25="Deutsch","STADION",(IF($K$25="Français","STADE","STADIUM")))))))</f>
        <v>STADIUM</v>
      </c>
      <c r="E22" s="363"/>
      <c r="F22" s="363"/>
      <c r="G22" s="363"/>
      <c r="H22" s="363"/>
      <c r="I22" s="363"/>
      <c r="J22" s="363"/>
      <c r="K22" s="313" t="s">
        <v>1349</v>
      </c>
      <c r="L22" s="314"/>
      <c r="M22" s="314"/>
      <c r="N22" s="314"/>
      <c r="O22" s="314"/>
      <c r="P22" s="314"/>
      <c r="Q22" s="314"/>
      <c r="R22" s="315"/>
      <c r="S22" s="31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3"/>
      <c r="U22" s="293"/>
      <c r="V22" s="293"/>
      <c r="W22" s="294"/>
      <c r="X22" s="65">
        <v>1</v>
      </c>
      <c r="Y22" s="31" t="s">
        <v>127</v>
      </c>
      <c r="Z22" s="317">
        <f>IFERROR(IF(OR(BP1="Necromantic",BP1="Shambling Undead",BP1="Nurgle"),100000,(VLOOKUP(BP1,BM:BR,6,0))),0)</f>
        <v>50000</v>
      </c>
      <c r="AA22" s="318"/>
      <c r="AB22" s="32" t="str">
        <f t="shared" si="51"/>
        <v>gp</v>
      </c>
      <c r="AC22" s="319">
        <f>IFERROR(X22*Z22,0)</f>
        <v>50000</v>
      </c>
      <c r="AD22" s="294"/>
      <c r="AE22" s="316" t="str">
        <f>IF($K$25="Italiano","REROLLS INIZIALI",(IF($K$25="Español","SEGUNDAS OPORTUNIDADES INICIALES",(IF($K$25="Deutsch","INITIAL WIEDERHOLUNGSWÜRFE",(IF($K$25="Français","RELANCES INITIALES","INITIAL REROLLS")))))))</f>
        <v>INITIAL REROLLS</v>
      </c>
      <c r="AF22" s="293"/>
      <c r="AG22" s="293"/>
      <c r="AH22" s="293"/>
      <c r="AI22" s="294"/>
      <c r="AJ22" s="65">
        <v>2</v>
      </c>
      <c r="AK22" s="31" t="s">
        <v>127</v>
      </c>
      <c r="AL22" s="317">
        <f>IFERROR(VLOOKUP(BP1,BM:BQ,5,0),0)</f>
        <v>60000</v>
      </c>
      <c r="AM22" s="318"/>
      <c r="AN22" s="33" t="str">
        <f t="shared" ref="AN22:AN31" si="52">IF($K$25="Español","mo",(IF($K$25="Deutsch","gm",(IF($K$25="Français","po","gp")))))</f>
        <v>gp</v>
      </c>
      <c r="AO22" s="319">
        <f t="shared" ref="AO22:AO31" si="53">IFERROR(AJ22*AL22,0)</f>
        <v>120000</v>
      </c>
      <c r="AP22" s="294"/>
      <c r="AQ22" s="39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7"/>
      <c r="B23" s="398"/>
      <c r="C23" s="398"/>
      <c r="D23" s="362" t="str">
        <f>IF($K$25="Italiano","RAZZA",(IF($K$25="Español","RAZA",(IF($K$25="Deutsch","RASSE",(IF($K$25="Français","TYPE D’ÉQUIPE","RACE")))))))</f>
        <v>RACE</v>
      </c>
      <c r="E23" s="363"/>
      <c r="F23" s="363"/>
      <c r="G23" s="363"/>
      <c r="H23" s="363"/>
      <c r="I23" s="363"/>
      <c r="J23" s="363"/>
      <c r="K23" s="369" t="s">
        <v>46</v>
      </c>
      <c r="L23" s="314"/>
      <c r="M23" s="314"/>
      <c r="N23" s="314"/>
      <c r="O23" s="314"/>
      <c r="P23" s="314"/>
      <c r="Q23" s="314"/>
      <c r="R23" s="315"/>
      <c r="S23" s="316" t="str">
        <f>IF($K$25="Español","ANIMADORAS",(IF($K$25="Deutsch","CHEERLEADER","CHEERLEADERS")))</f>
        <v>CHEERLEADERS</v>
      </c>
      <c r="T23" s="293"/>
      <c r="U23" s="293"/>
      <c r="V23" s="293"/>
      <c r="W23" s="294"/>
      <c r="X23" s="65">
        <v>0</v>
      </c>
      <c r="Y23" s="31" t="s">
        <v>127</v>
      </c>
      <c r="Z23" s="317">
        <v>10000</v>
      </c>
      <c r="AA23" s="318"/>
      <c r="AB23" s="32" t="str">
        <f t="shared" si="51"/>
        <v>gp</v>
      </c>
      <c r="AC23" s="319">
        <f t="shared" ref="AC23:AC31" si="54">IFERROR(X23*Z23,0)</f>
        <v>0</v>
      </c>
      <c r="AD23" s="294"/>
      <c r="AE23" s="316" t="str">
        <f>IF($K$25="Italiano","REROLLS ACQUISITI",(IF($K$25="Español","SEGUNDAS OPORTUNIDADES ADQUIRIDAS",(IF($K$25="Deutsch","GEKAUFTE WIEDERHOLUNGSWÜRFE",(IF($K$25="Français","RELANCES ACHETÉES","ACQUIRED REROLLS")))))))</f>
        <v>ACQUIRED REROLLS</v>
      </c>
      <c r="AF23" s="293"/>
      <c r="AG23" s="293"/>
      <c r="AH23" s="293"/>
      <c r="AI23" s="294"/>
      <c r="AJ23" s="65">
        <v>1</v>
      </c>
      <c r="AK23" s="31" t="s">
        <v>127</v>
      </c>
      <c r="AL23" s="317">
        <f>IFERROR((VLOOKUP(BP1,BM:BQ,5,0))*2,0)</f>
        <v>120000</v>
      </c>
      <c r="AM23" s="318"/>
      <c r="AN23" s="33" t="str">
        <f t="shared" si="52"/>
        <v>gp</v>
      </c>
      <c r="AO23" s="319">
        <f t="shared" si="53"/>
        <v>120000</v>
      </c>
      <c r="AP23" s="294"/>
      <c r="AQ23" s="39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7"/>
      <c r="B24" s="398"/>
      <c r="C24" s="398"/>
      <c r="D24" s="362" t="str">
        <f>IF($K$25="Italiano","ALLENATORE CAPO",(IF($K$25="Español","ENTRENADOR",(IF($K$25="Deutsch","CHEFTRAINER",(IF($K$25="Français","COACH","HEAD COACH")))))))</f>
        <v>HEAD COACH</v>
      </c>
      <c r="E24" s="363"/>
      <c r="F24" s="363"/>
      <c r="G24" s="363"/>
      <c r="H24" s="363"/>
      <c r="I24" s="363"/>
      <c r="J24" s="363"/>
      <c r="K24" s="386" t="s">
        <v>1832</v>
      </c>
      <c r="L24" s="387"/>
      <c r="M24" s="387"/>
      <c r="N24" s="387"/>
      <c r="O24" s="387"/>
      <c r="P24" s="387"/>
      <c r="Q24" s="387"/>
      <c r="R24" s="388"/>
      <c r="S24" s="316" t="str">
        <f>IF($K$25="Italiano","ASSISTENTI ALLENATORI",(IF($K$25="Español","AYUDANTES ENTRENADOR",(IF($K$25="Deutsch","TRAINERASSISTENTEN",(IF($K$25="Français","COACHS ASSIST","ASSISTANT COACHES")))))))</f>
        <v>ASSISTANT COACHES</v>
      </c>
      <c r="T24" s="293"/>
      <c r="U24" s="293"/>
      <c r="V24" s="293"/>
      <c r="W24" s="294"/>
      <c r="X24" s="65">
        <v>0</v>
      </c>
      <c r="Y24" s="31" t="s">
        <v>127</v>
      </c>
      <c r="Z24" s="317">
        <v>10000</v>
      </c>
      <c r="AA24" s="318"/>
      <c r="AB24" s="32" t="str">
        <f t="shared" si="51"/>
        <v>gp</v>
      </c>
      <c r="AC24" s="319">
        <f t="shared" si="54"/>
        <v>0</v>
      </c>
      <c r="AD24" s="294"/>
      <c r="AE24" s="381" t="str">
        <f>IF($K$25="Italiano","MAGO DEL CLIMA",(IF($K$25="Español","MAGO DEL TIEMPO",(IF($K$25="Deutsch","WETTERMAGIER",(IF($K$25="Français","MAGE MÉTÉO","WEATHER MAGE")))))))</f>
        <v>WEATHER MAGE</v>
      </c>
      <c r="AF24" s="293"/>
      <c r="AG24" s="293"/>
      <c r="AH24" s="293"/>
      <c r="AI24" s="294"/>
      <c r="AJ24" s="65">
        <v>0</v>
      </c>
      <c r="AK24" s="31" t="s">
        <v>127</v>
      </c>
      <c r="AL24" s="317">
        <v>30000</v>
      </c>
      <c r="AM24" s="318"/>
      <c r="AN24" s="32" t="str">
        <f t="shared" si="52"/>
        <v>gp</v>
      </c>
      <c r="AO24" s="319">
        <f t="shared" si="53"/>
        <v>0</v>
      </c>
      <c r="AP24" s="294"/>
      <c r="AQ24" s="39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7"/>
      <c r="B25" s="398"/>
      <c r="C25" s="398"/>
      <c r="D25" s="362" t="str">
        <f>IF($K$25="Italiano","LINGUA",(IF($K$25="Español","IDIOMA",(IF($K$25="Deutsch","SPRACHE",(IF($K$25="Français","LANGUE","LANGUAGE")))))))</f>
        <v>LANGUAGE</v>
      </c>
      <c r="E25" s="363"/>
      <c r="F25" s="363"/>
      <c r="G25" s="363"/>
      <c r="H25" s="363"/>
      <c r="I25" s="363"/>
      <c r="J25" s="363"/>
      <c r="K25" s="385" t="s">
        <v>148</v>
      </c>
      <c r="L25" s="314"/>
      <c r="M25" s="314"/>
      <c r="N25" s="314"/>
      <c r="O25" s="314"/>
      <c r="P25" s="314"/>
      <c r="Q25" s="314"/>
      <c r="R25" s="315"/>
      <c r="S25" s="381" t="str">
        <f>IF($K$25="Italiano","FUSTI DI BLOODWEISER",(IF($K$25="Español","BARRILES BLOODWEISER",(IF($K$25="Français","FÛTS DE BLOODWEISER","BLOODWEISER KEGS")))))</f>
        <v>BLOODWEISER KEGS</v>
      </c>
      <c r="T25" s="293"/>
      <c r="U25" s="293"/>
      <c r="V25" s="293"/>
      <c r="W25" s="294"/>
      <c r="X25" s="65">
        <v>0</v>
      </c>
      <c r="Y25" s="31" t="s">
        <v>127</v>
      </c>
      <c r="Z25" s="317">
        <v>50000</v>
      </c>
      <c r="AA25" s="318"/>
      <c r="AB25" s="32" t="str">
        <f t="shared" si="51"/>
        <v>gp</v>
      </c>
      <c r="AC25" s="319">
        <f t="shared" si="54"/>
        <v>0</v>
      </c>
      <c r="AD25" s="294"/>
      <c r="AE25" s="332" t="s">
        <v>149</v>
      </c>
      <c r="AF25" s="314"/>
      <c r="AG25" s="314"/>
      <c r="AH25" s="314"/>
      <c r="AI25" s="315"/>
      <c r="AJ25" s="65">
        <v>0</v>
      </c>
      <c r="AK25" s="31" t="s">
        <v>127</v>
      </c>
      <c r="AL25" s="317">
        <f>IFERROR((VLOOKUP(AE25,BI59:BJ85,2,FALSE)),0)</f>
        <v>0</v>
      </c>
      <c r="AM25" s="318"/>
      <c r="AN25" s="32" t="str">
        <f t="shared" si="52"/>
        <v>gp</v>
      </c>
      <c r="AO25" s="319">
        <f t="shared" si="53"/>
        <v>0</v>
      </c>
      <c r="AP25" s="294"/>
      <c r="AQ25" s="39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7"/>
      <c r="B26" s="398"/>
      <c r="C26" s="398"/>
      <c r="D26" s="362" t="str">
        <f>IF($K$25="Italiano","NOME SQUADRA",(IF($K$25="Español","NOMBRE DEL EQUIPO",(IF($K$25="Français","NOM D’ÉQUIPE","TEAM NAME")))))</f>
        <v>TEAM NAME</v>
      </c>
      <c r="E26" s="363"/>
      <c r="F26" s="363"/>
      <c r="G26" s="363"/>
      <c r="H26" s="363"/>
      <c r="I26" s="363"/>
      <c r="J26" s="363"/>
      <c r="K26" s="323" t="s">
        <v>1831</v>
      </c>
      <c r="L26" s="324"/>
      <c r="M26" s="324"/>
      <c r="N26" s="324"/>
      <c r="O26" s="324"/>
      <c r="P26" s="324"/>
      <c r="Q26" s="324"/>
      <c r="R26" s="325"/>
      <c r="S26" s="316" t="str">
        <f>IF($K$25="Italiano","CARTE SPECIALI",(IF($K$25="Español","CARTA ESPECIAL",(IF($K$25="Deutsch","SONDERKARTEN",(IF($K$25="Français","CARTE SPECIALE","SPECIAL CARD")))))))</f>
        <v>SPECIAL CARD</v>
      </c>
      <c r="T26" s="293"/>
      <c r="U26" s="293"/>
      <c r="V26" s="293"/>
      <c r="W26" s="294"/>
      <c r="X26" s="65">
        <v>0</v>
      </c>
      <c r="Y26" s="31" t="s">
        <v>127</v>
      </c>
      <c r="Z26" s="317">
        <v>100000</v>
      </c>
      <c r="AA26" s="318"/>
      <c r="AB26" s="32" t="str">
        <f t="shared" si="51"/>
        <v>gp</v>
      </c>
      <c r="AC26" s="319">
        <f t="shared" si="54"/>
        <v>0</v>
      </c>
      <c r="AD26" s="294"/>
      <c r="AE26" s="332" t="s">
        <v>154</v>
      </c>
      <c r="AF26" s="314"/>
      <c r="AG26" s="314"/>
      <c r="AH26" s="314"/>
      <c r="AI26" s="315"/>
      <c r="AJ26" s="65">
        <v>0</v>
      </c>
      <c r="AK26" s="31" t="s">
        <v>127</v>
      </c>
      <c r="AL26" s="317">
        <f>IFERROR(VLOOKUP(AE26,BE59:BF85,2,FALSE),0)</f>
        <v>0</v>
      </c>
      <c r="AM26" s="318"/>
      <c r="AN26" s="32" t="str">
        <f t="shared" si="52"/>
        <v>gp</v>
      </c>
      <c r="AO26" s="319">
        <f t="shared" si="53"/>
        <v>0</v>
      </c>
      <c r="AP26" s="294"/>
      <c r="AQ26" s="39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7"/>
      <c r="B27" s="398"/>
      <c r="C27" s="398"/>
      <c r="D27" s="362" t="str">
        <f>IF($K$25="Italiano","TIFOSI SFEGATATI",(IF($K$25="Español","FANS DEDICADOS",(IF($K$25="Deutsch","TREUE FANS",(IF($K$25="Français","FANS DÉVOUÉS","DEDICATED FANS")))))))</f>
        <v>DEDICATED FANS</v>
      </c>
      <c r="E27" s="363"/>
      <c r="F27" s="363"/>
      <c r="G27" s="363"/>
      <c r="H27" s="363"/>
      <c r="I27" s="363"/>
      <c r="J27" s="363"/>
      <c r="K27" s="407">
        <f>X21+Games!X2+Games!AC2</f>
        <v>2</v>
      </c>
      <c r="L27" s="361"/>
      <c r="M27" s="361"/>
      <c r="N27" s="361"/>
      <c r="O27" s="361"/>
      <c r="P27" s="361"/>
      <c r="Q27" s="361"/>
      <c r="R27" s="408"/>
      <c r="S27" s="382" t="str">
        <f>IF($K$25="Italiano","CHEERLEADERS AG. INT.",(IF($K$25="Español","ANIMADORAS TEMP.",(IF($K$25="Deutsch","ZEITARBEITS-CHEERLEADER",(IF($K$25="Français","CHEERLEADERS INTERIM.","TEMP. CHEERLEADERS")))))))</f>
        <v>TEMP. CHEERLEADERS</v>
      </c>
      <c r="T27" s="330"/>
      <c r="U27" s="330"/>
      <c r="V27" s="330"/>
      <c r="W27" s="383"/>
      <c r="X27" s="66">
        <v>0</v>
      </c>
      <c r="Y27" s="34" t="s">
        <v>127</v>
      </c>
      <c r="Z27" s="384">
        <v>20000</v>
      </c>
      <c r="AA27" s="331"/>
      <c r="AB27" s="35" t="str">
        <f t="shared" si="51"/>
        <v>gp</v>
      </c>
      <c r="AC27" s="319">
        <f t="shared" si="54"/>
        <v>0</v>
      </c>
      <c r="AD27" s="294"/>
      <c r="AE27" s="379" t="s">
        <v>154</v>
      </c>
      <c r="AF27" s="314"/>
      <c r="AG27" s="314"/>
      <c r="AH27" s="314"/>
      <c r="AI27" s="315"/>
      <c r="AJ27" s="65">
        <v>0</v>
      </c>
      <c r="AK27" s="31" t="s">
        <v>127</v>
      </c>
      <c r="AL27" s="317">
        <f>IFERROR(VLOOKUP(AE27,BE59:BF85,2,FALSE),0)</f>
        <v>0</v>
      </c>
      <c r="AM27" s="318"/>
      <c r="AN27" s="32" t="str">
        <f t="shared" si="52"/>
        <v>gp</v>
      </c>
      <c r="AO27" s="319">
        <f t="shared" si="53"/>
        <v>0</v>
      </c>
      <c r="AP27" s="294"/>
      <c r="AQ27" s="39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7"/>
      <c r="B28" s="398"/>
      <c r="C28" s="398"/>
      <c r="D28" s="362" t="str">
        <f>IF($K$25="Italiano","COSTI INCENTIVI &amp; EXTRA",(IF($K$25="Español","COSTE INCENTIVOS Y EXTRAS",(IF($K$25="Deutsch","GESAMTER TEAMWERT &amp; EXTRAS",(IF($K$25="Français","COUPS DE POUCES &amp; STAFF","COST INDUCEMENTS &amp; EXTRAS")))))))</f>
        <v>COST INDUCEMENTS &amp; EXTRAS</v>
      </c>
      <c r="E28" s="363"/>
      <c r="F28" s="363"/>
      <c r="G28" s="363"/>
      <c r="H28" s="363"/>
      <c r="I28" s="363"/>
      <c r="J28" s="363"/>
      <c r="K28" s="358">
        <f>(SUM(AC21:AD31,AO22:AP31,AO18:AP20))/1000</f>
        <v>290</v>
      </c>
      <c r="L28" s="293"/>
      <c r="M28" s="293"/>
      <c r="N28" s="318"/>
      <c r="O28" s="36" t="str">
        <f>IF($K$25="Español","k mo",(IF($K$25="Deutsch","k gm",(IF($K$25="Français","k po","k gp")))))</f>
        <v>k gp</v>
      </c>
      <c r="P28" s="36"/>
      <c r="Q28" s="36"/>
      <c r="R28" s="37"/>
      <c r="S28" s="316" t="str">
        <f>IF($K$25="Italiano","ASSISTENTI ALLENATORI P.T.",(IF($K$25="Español","AYUDANTES ENTRENADOR T.P.",(IF($K$25="Deutsch","TEILZEIT-TRAINERASSISTENTEN",(IF($K$25="Français","COACHS ASSIST INTERIM.","P.T. ASSISTANT COACHES")))))))</f>
        <v>P.T. ASSISTANT COACHES</v>
      </c>
      <c r="T28" s="293"/>
      <c r="U28" s="293"/>
      <c r="V28" s="293"/>
      <c r="W28" s="294"/>
      <c r="X28" s="65">
        <v>0</v>
      </c>
      <c r="Y28" s="31" t="s">
        <v>127</v>
      </c>
      <c r="Z28" s="317">
        <v>20000</v>
      </c>
      <c r="AA28" s="318"/>
      <c r="AB28" s="32" t="str">
        <f t="shared" si="51"/>
        <v>gp</v>
      </c>
      <c r="AC28" s="319">
        <f t="shared" si="54"/>
        <v>0</v>
      </c>
      <c r="AD28" s="294"/>
      <c r="AE28" s="379" t="s">
        <v>164</v>
      </c>
      <c r="AF28" s="314"/>
      <c r="AG28" s="314"/>
      <c r="AH28" s="314"/>
      <c r="AI28" s="315"/>
      <c r="AJ28" s="65">
        <v>0</v>
      </c>
      <c r="AK28" s="31" t="s">
        <v>127</v>
      </c>
      <c r="AL28" s="317">
        <f>IFERROR(VLOOKUP(AE28,BM59:BN85,2,FALSE),0)</f>
        <v>0</v>
      </c>
      <c r="AM28" s="318"/>
      <c r="AN28" s="32" t="str">
        <f t="shared" si="52"/>
        <v>gp</v>
      </c>
      <c r="AO28" s="319">
        <f t="shared" si="53"/>
        <v>0</v>
      </c>
      <c r="AP28" s="294"/>
      <c r="AQ28" s="39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7"/>
      <c r="B29" s="398"/>
      <c r="C29" s="398"/>
      <c r="D29" s="362" t="str">
        <f>IF($K$25="Italiano","COSTO GIOCATORI",(IF($K$25="Español","PRECIO JUGADORES",(IF($K$25="Deutsch","WERT SPIELER",(IF($K$25="Français","VALEUR DES JOUEURS","COST PLAYERS")))))))</f>
        <v>COST PLAYERS</v>
      </c>
      <c r="E29" s="363"/>
      <c r="F29" s="363"/>
      <c r="G29" s="363"/>
      <c r="H29" s="363"/>
      <c r="I29" s="363"/>
      <c r="J29" s="363"/>
      <c r="K29" s="358">
        <f>(SUM(AO2:AP17))/1000</f>
        <v>875</v>
      </c>
      <c r="L29" s="293"/>
      <c r="M29" s="293"/>
      <c r="N29" s="318"/>
      <c r="O29" s="359" t="str">
        <f>IF($K$25="Español","k mo",(IF($K$25="Deutsch","k gm",(IF($K$25="Français","k po","k gp")))))</f>
        <v>k gp</v>
      </c>
      <c r="P29" s="293"/>
      <c r="Q29" s="293"/>
      <c r="R29" s="294"/>
      <c r="S29" s="316" t="str">
        <f>IF($K$25="Italiano","MAZZETTE",(IF($K$25="Español","SOBORNOS",(IF($K$25="Deutsch","BESTECHUNGEN",(IF($K$25="Français","POTS-DE-VIN","BRIBES")))))))</f>
        <v>BRIBES</v>
      </c>
      <c r="T29" s="293"/>
      <c r="U29" s="293"/>
      <c r="V29" s="293"/>
      <c r="W29" s="294"/>
      <c r="X29" s="65">
        <v>0</v>
      </c>
      <c r="Y29" s="31" t="s">
        <v>127</v>
      </c>
      <c r="Z29" s="317">
        <f>IFERROR(IF(BW2="Bribery and Corruption",50000,100000),100000)</f>
        <v>50000</v>
      </c>
      <c r="AA29" s="318"/>
      <c r="AB29" s="32" t="str">
        <f t="shared" si="51"/>
        <v>gp</v>
      </c>
      <c r="AC29" s="319">
        <f t="shared" si="54"/>
        <v>0</v>
      </c>
      <c r="AD29" s="294"/>
      <c r="AE29" s="379" t="s">
        <v>170</v>
      </c>
      <c r="AF29" s="314"/>
      <c r="AG29" s="314"/>
      <c r="AH29" s="314"/>
      <c r="AI29" s="315"/>
      <c r="AJ29" s="65">
        <v>0</v>
      </c>
      <c r="AK29" s="31" t="s">
        <v>127</v>
      </c>
      <c r="AL29" s="317">
        <f>IFERROR(VLOOKUP(AE29,BP60:BQ86,2,FALSE),0)</f>
        <v>0</v>
      </c>
      <c r="AM29" s="318"/>
      <c r="AN29" s="32" t="str">
        <f t="shared" si="52"/>
        <v>gp</v>
      </c>
      <c r="AO29" s="319">
        <f t="shared" si="53"/>
        <v>0</v>
      </c>
      <c r="AP29" s="294"/>
      <c r="AQ29" s="39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7"/>
      <c r="B30" s="398"/>
      <c r="C30" s="398"/>
      <c r="D30" s="362" t="str">
        <f>IF($K$25="Italiano","COSTO TOTALE SQUADRA",(IF($K$25="Español","PRECIO TOTAL EQUIPO",(IF($K$25="Deutsch","GESAMTER TEAMWERT",(IF($K$25="Français","VALEUR D’ÉQUIPE","TOTAL TEAM COST")))))))</f>
        <v>TOTAL TEAM COST</v>
      </c>
      <c r="E30" s="363"/>
      <c r="F30" s="363"/>
      <c r="G30" s="363"/>
      <c r="H30" s="363"/>
      <c r="I30" s="363"/>
      <c r="J30" s="363"/>
      <c r="K30" s="358">
        <f>K28+K29</f>
        <v>1165</v>
      </c>
      <c r="L30" s="293"/>
      <c r="M30" s="293"/>
      <c r="N30" s="318"/>
      <c r="O30" s="359" t="str">
        <f>IF($K$25="Español","k mo",(IF($K$25="Deutsch","k gm",(IF($K$25="Français","k po","k gp")))))</f>
        <v>k gp</v>
      </c>
      <c r="P30" s="293"/>
      <c r="Q30" s="293"/>
      <c r="R30" s="294"/>
      <c r="S30" s="316" t="str">
        <f>IF($K$25="Italiano","CAPOCUOCO",(IF($K$25="Español","MASTER CHEF",(IF($K$25="Deutsch","HALBLING-MEISTERKOCH",(IF($K$25="Français","CHEF CUISTOT","MASTER CHEF")))))))</f>
        <v>MASTER CHEF</v>
      </c>
      <c r="T30" s="293"/>
      <c r="U30" s="293"/>
      <c r="V30" s="293"/>
      <c r="W30" s="294"/>
      <c r="X30" s="65">
        <v>0</v>
      </c>
      <c r="Y30" s="31" t="s">
        <v>127</v>
      </c>
      <c r="Z30" s="317">
        <f>IFERROR(IF(OR(BP1="Halfling",BP1="Halflings",BP1="Halflinge"),100000,300000),300000)</f>
        <v>300000</v>
      </c>
      <c r="AA30" s="318"/>
      <c r="AB30" s="33" t="str">
        <f t="shared" si="51"/>
        <v>gp</v>
      </c>
      <c r="AC30" s="319">
        <f t="shared" si="54"/>
        <v>0</v>
      </c>
      <c r="AD30" s="294"/>
      <c r="AE30" s="316" t="str">
        <f>IF($K$25="Italiano","ALLENAMIENTO INTENSIVO",(IF($K$25="Español","ENTRENAMIENTO EXTRA",(IF($K$25="Deutsch","ZUSÄTZLICHES TRAINING",(IF($K$25="Français","ENTRAÎNEMENT SUPP.","EXTRA TEAM TRAINING")))))))</f>
        <v>EXTRA TEAM TRAINING</v>
      </c>
      <c r="AF30" s="293"/>
      <c r="AG30" s="293"/>
      <c r="AH30" s="293"/>
      <c r="AI30" s="294"/>
      <c r="AJ30" s="65">
        <v>0</v>
      </c>
      <c r="AK30" s="31" t="s">
        <v>127</v>
      </c>
      <c r="AL30" s="317">
        <v>100000</v>
      </c>
      <c r="AM30" s="318"/>
      <c r="AN30" s="33" t="str">
        <f t="shared" si="52"/>
        <v>gp</v>
      </c>
      <c r="AO30" s="319">
        <f t="shared" si="53"/>
        <v>0</v>
      </c>
      <c r="AP30" s="294"/>
      <c r="AQ30" s="39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7"/>
      <c r="B31" s="398"/>
      <c r="C31" s="398"/>
      <c r="D31" s="362" t="str">
        <f>IF($K$25="Italiano","TESORERIA",(IF($K$25="Español","TESORERÍA",(IF($K$25="Deutsch","TEAMKASSE",(IF($K$25="Français","TRÉSORERIE","TREASURY")))))))</f>
        <v>TREASURY</v>
      </c>
      <c r="E31" s="363"/>
      <c r="F31" s="363"/>
      <c r="G31" s="363"/>
      <c r="H31" s="363"/>
      <c r="I31" s="363"/>
      <c r="J31" s="363"/>
      <c r="K31" s="358">
        <f>(((Games!AC3+Games!Z2-Games!Y2)+(SUM(AH37:AI52))-(SUM(AB37:AC52))-(SUM('Dead &amp; Retired Players'!AJ3:AK32)))/1000)-K30</f>
        <v>25</v>
      </c>
      <c r="L31" s="293"/>
      <c r="M31" s="293"/>
      <c r="N31" s="318"/>
      <c r="O31" s="359" t="str">
        <f>IF($K$25="Español","k mo",(IF($K$25="Deutsch","k gm",(IF($K$25="Français","k po","k gp")))))</f>
        <v>k gp</v>
      </c>
      <c r="P31" s="293"/>
      <c r="Q31" s="293"/>
      <c r="R31" s="294"/>
      <c r="S31" s="360" t="str">
        <f>IF($K$25="Italiano","ESORDIENTI RIBELLI",(IF($K$25="Español","NOVATOS ALBOROTADORES",(IF($K$25="Deutsch","RANDALIERENDE NEULINGE",(IF($K$25="Français","DÉBUTANTS DÉCHAINÉS","RIOTOUS ROOKIES")))))))</f>
        <v>RIOTOUS ROOKIES</v>
      </c>
      <c r="T31" s="293"/>
      <c r="U31" s="293"/>
      <c r="V31" s="293"/>
      <c r="W31" s="294"/>
      <c r="X31" s="65">
        <v>0</v>
      </c>
      <c r="Y31" s="31" t="s">
        <v>127</v>
      </c>
      <c r="Z31" s="317">
        <f>IFERROR(IF(BX2="LowCost",100000,0),0)</f>
        <v>0</v>
      </c>
      <c r="AA31" s="318"/>
      <c r="AB31" s="33" t="str">
        <f t="shared" si="51"/>
        <v>gp</v>
      </c>
      <c r="AC31" s="319">
        <f t="shared" si="54"/>
        <v>0</v>
      </c>
      <c r="AD31" s="294"/>
      <c r="AE31" s="316" t="str">
        <f>IF($K$25="Italiano","MEDICI VAGABONDI",(IF($K$25="Español","MÉDICO ERRANTE",(IF($K$25="Deutsch","WANDERNDER SANITÄTER",(IF($K$25="Français","APO ITINÉRANT","WANDERING APO")))))))</f>
        <v>WANDERING APO</v>
      </c>
      <c r="AF31" s="293"/>
      <c r="AG31" s="293"/>
      <c r="AH31" s="293"/>
      <c r="AI31" s="294"/>
      <c r="AJ31" s="65">
        <v>0</v>
      </c>
      <c r="AK31" s="31" t="s">
        <v>127</v>
      </c>
      <c r="AL31" s="317">
        <f>IFERROR(IF(Z22=0,0,100000),0)</f>
        <v>100000</v>
      </c>
      <c r="AM31" s="318"/>
      <c r="AN31" s="33" t="str">
        <f t="shared" si="52"/>
        <v>gp</v>
      </c>
      <c r="AO31" s="319">
        <f t="shared" si="53"/>
        <v>0</v>
      </c>
      <c r="AP31" s="294"/>
      <c r="AQ31" s="39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99"/>
      <c r="B32" s="400"/>
      <c r="C32" s="400"/>
      <c r="D32" s="362" t="str">
        <f>IF($K$25="Italiano","VALORE SQUADRA",(IF($K$25="Español","VALOR DEL EQUIPO",(IF($K$25="Deutsch","TEAMWERT",(IF($K$25="Français","VALEUR D’ÉQUIPE ACTUELLE","TEAM VALUE")))))))</f>
        <v>TEAM VALUE</v>
      </c>
      <c r="E32" s="363"/>
      <c r="F32" s="363"/>
      <c r="G32" s="363"/>
      <c r="H32" s="363"/>
      <c r="I32" s="363"/>
      <c r="J32" s="363"/>
      <c r="K32" s="361">
        <f>(K28-(AC21/1000)+(SUM(AR2:AR17))-(AO23/2000))</f>
        <v>1240</v>
      </c>
      <c r="L32" s="293"/>
      <c r="M32" s="293"/>
      <c r="N32" s="293"/>
      <c r="O32" s="293"/>
      <c r="P32" s="293"/>
      <c r="Q32" s="293"/>
      <c r="R32" s="294"/>
      <c r="S32" s="360" t="str">
        <f>IF($K$25="Italiano","REGOLE SPECIALI",(IF($K$25="Español","REGLA ESPECIAL",(IF($K$25="Deutsch","SONDERREGELN",(IF($K$25="Français","RÈGLES SPÉCIALES","SPECIAL RULES")))))))</f>
        <v>SPECIAL RULES</v>
      </c>
      <c r="T32" s="293"/>
      <c r="U32" s="293"/>
      <c r="V32" s="293"/>
      <c r="W32" s="294"/>
      <c r="X32" s="341" t="str">
        <f>IFERROR(VLOOKUP(BP1,BM:BV,8,0),"")</f>
        <v>Badlands Brawl and Bribery and Corruption</v>
      </c>
      <c r="Y32" s="293"/>
      <c r="Z32" s="293"/>
      <c r="AA32" s="293"/>
      <c r="AB32" s="293"/>
      <c r="AC32" s="293"/>
      <c r="AD32" s="293"/>
      <c r="AE32" s="293"/>
      <c r="AF32" s="293"/>
      <c r="AG32" s="293"/>
      <c r="AH32" s="293"/>
      <c r="AI32" s="293"/>
      <c r="AJ32" s="318"/>
      <c r="AK32" s="342" t="s">
        <v>185</v>
      </c>
      <c r="AL32" s="293"/>
      <c r="AM32" s="318"/>
      <c r="AN32" s="343"/>
      <c r="AO32" s="293"/>
      <c r="AP32" s="294"/>
      <c r="AQ32" s="39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1" t="str">
        <f>IF(K25="Italiano","v9.0 - Creato da dreamscreator",(IF(K25="Español","v9.0 - Creado por dreamscreator",(IF(K25="Deutsch","v9.0 - Erstellt von dreamscreator",(IF(K25="Français","v9.0 - Créé par dreamscreator","v9.0 - Created by dreamscreator")))))))</f>
        <v>v9.0 - Created by dreamscreator</v>
      </c>
      <c r="B33" s="327"/>
      <c r="C33" s="328"/>
      <c r="D33" s="291"/>
      <c r="E33" s="291"/>
      <c r="F33" s="291"/>
      <c r="G33" s="326" t="str">
        <f>B60&amp;B61&amp;B62&amp;B63&amp;B64&amp;B65&amp;B66</f>
        <v/>
      </c>
      <c r="H33" s="291"/>
      <c r="I33" s="291"/>
      <c r="J33" s="291"/>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c r="AQ33" s="39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40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0"/>
      <c r="C34" s="368"/>
      <c r="D34" s="330"/>
      <c r="E34" s="330"/>
      <c r="F34" s="331"/>
      <c r="G34" s="329" t="str">
        <f>IF(K25="Italiano","AVANZAMIENTO GIOCATORI",(IF(K25="Español","MEJORAS DE LOS JUGADORES",(IF(K25="Deutsch","SPIELERVERBESSERUNGEN",(IF(K25="Français","AMÉLIORATIONS DE JOUEURS","PLAYERS UPGRADES")))))))</f>
        <v>PLAYERS UPGRADES</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39"/>
      <c r="AM34" s="39"/>
      <c r="AN34" s="39"/>
      <c r="AO34" s="39"/>
      <c r="AP34" s="39"/>
      <c r="AQ34" s="39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3" t="s">
        <v>29</v>
      </c>
      <c r="B35" s="393" t="str">
        <f>IF($K$25="Italiano","TIPO",(IF($K$25="Español","TIPO",(IF($K$25="Deutsch","POSITION",(IF($K$25="Français","POSTE","TYPE")))))))</f>
        <v>TYPE</v>
      </c>
      <c r="C35" s="393" t="str">
        <f>IF($K$25="Italiano","Avanzamento 1",(IF($K$25="Español","Mejora 1",(IF($K$25="Deutsch","Verbes- serung 1",(IF($K$25="Français","Amélioration 1","Upgrade 1")))))))</f>
        <v>Upgrade 1</v>
      </c>
      <c r="D35" s="335" t="str">
        <f>IF($K$25="Italiano","Scelto o Casuale",(IF($K$25="Español","Elegida o Aleatoria",(IF($K$25="Deutsch","Ausge- wählt oder zufällig",(IF($K$25="Français","Choisie ou Aléatoire ","Chosen or Random")))))))</f>
        <v>Chosen or Random</v>
      </c>
      <c r="E35" s="336"/>
      <c r="F35" s="335" t="str">
        <f>IF($K$25="Italiano","Avanzamento 2",(IF($K$25="Español","Mejora 2",(IF($K$25="Deutsch","Verbes- serung 2",(IF($K$25="Français","Amélioration 2","Upgrade 2")))))))</f>
        <v>Upgrade 2</v>
      </c>
      <c r="G35" s="336"/>
      <c r="H35" s="335" t="str">
        <f>IF($K$25="Italiano","Scelto o Casuale",(IF($K$25="Español","Elegida o Aleatoria",(IF($K$25="Deutsch","Ausge- wählt oder zufällig",(IF($K$25="Français","Choisie ou Aléatoire ","Chosen or Random")))))))</f>
        <v>Chosen or Random</v>
      </c>
      <c r="I35" s="367"/>
      <c r="J35" s="367"/>
      <c r="K35" s="336"/>
      <c r="L35" s="335" t="str">
        <f>IF($K$25="Italiano","Avanzamento 3",(IF($K$25="Español","Mejora 3",(IF($K$25="Deutsch","Verbes- serung 3",(IF($K$25="Français","Amélioration 3","Upgrade 3")))))))</f>
        <v>Upgrade 3</v>
      </c>
      <c r="M35" s="336"/>
      <c r="N35" s="335" t="str">
        <f>IF($K$25="Italiano","Scelto o Casuale",(IF($K$25="Español","Elegida o Aleatoria",(IF($K$25="Deutsch","Ausge- wählt oder zufällig",(IF($K$25="Français","Choisie ou Aléatoire ","Chosen or Random")))))))</f>
        <v>Chosen or Random</v>
      </c>
      <c r="O35" s="336"/>
      <c r="P35" s="335" t="str">
        <f>IF($K$25="Italiano","Avanzamento 4",(IF($K$25="Español","Mejora 4",(IF($K$25="Deutsch","Verbes- serung 4",(IF($K$25="Français","Amélioration 4","Upgrade 4")))))))</f>
        <v>Upgrade 4</v>
      </c>
      <c r="Q35" s="336"/>
      <c r="R35" s="335" t="str">
        <f>IF($K$25="Italiano","Scelto o Casuale",(IF($K$25="Español","Elegida o Aleatoria",(IF($K$25="Deutsch","Ausge- wählt oder zufällig",(IF($K$25="Français","Choisie ou Aléatoire ","Chosen or Random")))))))</f>
        <v>Chosen or Random</v>
      </c>
      <c r="S35" s="336"/>
      <c r="T35" s="335" t="str">
        <f>IF($K$25="Italiano","Avanzamento 5",(IF($K$25="Español","Mejora 5",(IF($K$25="Deutsch","Verbes- serung 5",(IF($K$25="Français","Amélioration 5","Upgrade 5")))))))</f>
        <v>Upgrade 5</v>
      </c>
      <c r="U35" s="336"/>
      <c r="V35" s="335" t="str">
        <f>IF($K$25="Italiano","Scelto o Casuale",(IF($K$25="Español","Elegida o Aleatoria",(IF($K$25="Deutsch","Ausge- wählt oder zufällig",(IF($K$25="Français","Choisie ou Aléatoire ","Chosen or Random")))))))</f>
        <v>Chosen or Random</v>
      </c>
      <c r="W35" s="336"/>
      <c r="X35" s="335" t="str">
        <f>IF($K$25="Italiano","Avanzamento 6",(IF($K$25="Español","Mejora 6",(IF($K$25="Deutsch","Verbes- serung 6",(IF($K$25="Français","Amélioration 6","Upgrade 6")))))))</f>
        <v>Upgrade 6</v>
      </c>
      <c r="Y35" s="336"/>
      <c r="Z35" s="335" t="str">
        <f>IF($K$25="Italiano","Scelto o Casuale",(IF($K$25="Español","Elegida o Aleatoria",(IF($K$25="Deutsch","Ausge- wählt oder zufällig",(IF($K$25="Français","Choisie ou Aléatoire ","Chosen or Random")))))))</f>
        <v>Chosen or Random</v>
      </c>
      <c r="AA35" s="336"/>
      <c r="AB35" s="335" t="str">
        <f>IF($K$25="Italiano","Tassa di agenzia di ricontratto",(IF($K$25="Español","Tasa Agencia Recontratar",(IF($K$25="Deutsch","Gebühr für die Neuvergabe einer Agentur",(IF($K$25="Français","Frais d'agence pour le recontrat","Fee Agency Redraft")))))))</f>
        <v>Fee Agency Redraft</v>
      </c>
      <c r="AC35" s="336"/>
      <c r="AD35" s="335" t="str">
        <f>IF($K$25="Italiano","Modifica Manuale Valore",(IF($K$25="Español","Modificar valor manual",(IF($K$25="Deutsch","Manuelle Wertän- derung",(IF($K$25="Français","Modif. manuelle de Valeur","Manual Modify Value")))))))</f>
        <v>Manual Modify Value</v>
      </c>
      <c r="AE35" s="336"/>
      <c r="AF35" s="335" t="str">
        <f>IF($K$25="Italiano","Modifica Manuale SPP",(IF($K$25="Español","Modificar SPP manual",(IF($K$25="Deutsch","Manuelle SPP derung",(IF($K$25="Français","Modif. manuelle de SPP","Manual Modify SPP")))))))</f>
        <v>Manual Modify SPP</v>
      </c>
      <c r="AG35" s="336"/>
      <c r="AH35" s="335" t="str">
        <f>IF($K$25="Italiano","Valore Extra",(IF($K$25="Español","Valor extra",(IF($K$25="Deutsch","Extra Wert",(IF($K$25="Français","Hausse de Valeur","Value Extra")))))))</f>
        <v>Value Extra</v>
      </c>
      <c r="AI35" s="336"/>
      <c r="AJ35" s="373" t="str">
        <f>IF($K$25="Italiano","Costo SPP",(IF($K$25="Español","Coste",(IF($K$25="Deutsch","Σ SPP",(IF($K$25="Français","Coût en PSP","SPP Cost")))))))</f>
        <v>SPP Cost</v>
      </c>
      <c r="AK35" s="375" t="str">
        <f>IF($K$25="Italiano","Infortuni",(IF($K$25="Español","Lesiones",(IF($K$25="Deutsch","Verletzungen",(IF($K$25="Français","Blessures","Injuries")))))))</f>
        <v>Injuries</v>
      </c>
      <c r="AL35" s="293"/>
      <c r="AM35" s="293"/>
      <c r="AN35" s="293"/>
      <c r="AO35" s="293"/>
      <c r="AP35" s="294"/>
      <c r="AQ35" s="39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3"/>
      <c r="B36" s="394"/>
      <c r="C36" s="394"/>
      <c r="D36" s="337"/>
      <c r="E36" s="338"/>
      <c r="F36" s="337"/>
      <c r="G36" s="338"/>
      <c r="H36" s="337"/>
      <c r="I36" s="368"/>
      <c r="J36" s="368"/>
      <c r="K36" s="338"/>
      <c r="L36" s="337"/>
      <c r="M36" s="338"/>
      <c r="N36" s="337"/>
      <c r="O36" s="338"/>
      <c r="P36" s="337"/>
      <c r="Q36" s="338"/>
      <c r="R36" s="337"/>
      <c r="S36" s="338"/>
      <c r="T36" s="337"/>
      <c r="U36" s="338"/>
      <c r="V36" s="337"/>
      <c r="W36" s="338"/>
      <c r="X36" s="337"/>
      <c r="Y36" s="338"/>
      <c r="Z36" s="337"/>
      <c r="AA36" s="338"/>
      <c r="AB36" s="337"/>
      <c r="AC36" s="338"/>
      <c r="AD36" s="337"/>
      <c r="AE36" s="338"/>
      <c r="AF36" s="337"/>
      <c r="AG36" s="338"/>
      <c r="AH36" s="337"/>
      <c r="AI36" s="338"/>
      <c r="AJ36" s="374"/>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Trained Troll</v>
      </c>
      <c r="C37" s="254"/>
      <c r="D37" s="357"/>
      <c r="E37" s="340"/>
      <c r="F37" s="333"/>
      <c r="G37" s="334"/>
      <c r="H37" s="321"/>
      <c r="I37" s="351"/>
      <c r="J37" s="351"/>
      <c r="K37" s="322"/>
      <c r="L37" s="333"/>
      <c r="M37" s="334"/>
      <c r="N37" s="339"/>
      <c r="O37" s="340"/>
      <c r="P37" s="333"/>
      <c r="Q37" s="334"/>
      <c r="R37" s="339"/>
      <c r="S37" s="340"/>
      <c r="T37" s="333"/>
      <c r="U37" s="334"/>
      <c r="V37" s="339"/>
      <c r="W37" s="340"/>
      <c r="X37" s="333"/>
      <c r="Y37" s="334"/>
      <c r="Z37" s="339"/>
      <c r="AA37" s="340"/>
      <c r="AB37" s="354"/>
      <c r="AC37" s="340"/>
      <c r="AD37" s="354"/>
      <c r="AE37" s="340"/>
      <c r="AF37" s="376"/>
      <c r="AG37" s="340"/>
      <c r="AH37" s="377">
        <f>IFERROR(BJ40+AB37+AD37,0)</f>
        <v>0</v>
      </c>
      <c r="AI37" s="378"/>
      <c r="AJ37" s="68">
        <f>IFERROR((SUM(CV40:DA40)+AF37),0)</f>
        <v>0</v>
      </c>
      <c r="AK37" s="67">
        <v>0</v>
      </c>
      <c r="AL37" s="68">
        <v>0</v>
      </c>
      <c r="AM37" s="68">
        <v>0</v>
      </c>
      <c r="AN37" s="68">
        <v>0</v>
      </c>
      <c r="AO37" s="68">
        <v>0</v>
      </c>
      <c r="AP37" s="68">
        <v>0</v>
      </c>
      <c r="AQ37" s="39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Black Orc</v>
      </c>
      <c r="C38" s="253"/>
      <c r="D38" s="321"/>
      <c r="E38" s="322"/>
      <c r="F38" s="321"/>
      <c r="G38" s="322"/>
      <c r="H38" s="321"/>
      <c r="I38" s="351"/>
      <c r="J38" s="351"/>
      <c r="K38" s="322"/>
      <c r="L38" s="321"/>
      <c r="M38" s="322"/>
      <c r="N38" s="321"/>
      <c r="O38" s="322"/>
      <c r="P38" s="321"/>
      <c r="Q38" s="322"/>
      <c r="R38" s="321"/>
      <c r="S38" s="322"/>
      <c r="T38" s="321"/>
      <c r="U38" s="322"/>
      <c r="V38" s="321"/>
      <c r="W38" s="322"/>
      <c r="X38" s="321"/>
      <c r="Y38" s="322"/>
      <c r="Z38" s="321"/>
      <c r="AA38" s="322"/>
      <c r="AB38" s="354">
        <v>0</v>
      </c>
      <c r="AC38" s="340"/>
      <c r="AD38" s="355"/>
      <c r="AE38" s="356"/>
      <c r="AF38" s="371"/>
      <c r="AG38" s="372"/>
      <c r="AH38" s="377">
        <f t="shared" ref="AH38:AH52" si="56">IFERROR(BJ41+AB38+AD38,0)</f>
        <v>0</v>
      </c>
      <c r="AI38" s="378"/>
      <c r="AJ38" s="68">
        <f t="shared" ref="AJ38:AJ51" si="57">IFERROR((SUM(CV41:DA41)+AF38),0)</f>
        <v>0</v>
      </c>
      <c r="AK38" s="67">
        <v>0</v>
      </c>
      <c r="AL38" s="68">
        <v>0</v>
      </c>
      <c r="AM38" s="68">
        <v>0</v>
      </c>
      <c r="AN38" s="68">
        <v>0</v>
      </c>
      <c r="AO38" s="68">
        <v>0</v>
      </c>
      <c r="AP38" s="68">
        <v>0</v>
      </c>
      <c r="AQ38" s="39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Black Orc</v>
      </c>
      <c r="C39" s="254" t="s">
        <v>1855</v>
      </c>
      <c r="D39" s="333" t="s">
        <v>1847</v>
      </c>
      <c r="E39" s="334"/>
      <c r="F39" s="333"/>
      <c r="G39" s="334"/>
      <c r="H39" s="321"/>
      <c r="I39" s="351"/>
      <c r="J39" s="351"/>
      <c r="K39" s="322"/>
      <c r="L39" s="333"/>
      <c r="M39" s="334"/>
      <c r="N39" s="321"/>
      <c r="O39" s="322"/>
      <c r="P39" s="333"/>
      <c r="Q39" s="334"/>
      <c r="R39" s="321"/>
      <c r="S39" s="322"/>
      <c r="T39" s="333"/>
      <c r="U39" s="334"/>
      <c r="V39" s="321"/>
      <c r="W39" s="322"/>
      <c r="X39" s="333"/>
      <c r="Y39" s="334"/>
      <c r="Z39" s="321"/>
      <c r="AA39" s="322"/>
      <c r="AB39" s="354">
        <v>0</v>
      </c>
      <c r="AC39" s="340"/>
      <c r="AD39" s="355"/>
      <c r="AE39" s="356"/>
      <c r="AF39" s="371"/>
      <c r="AG39" s="372"/>
      <c r="AH39" s="377">
        <f t="shared" si="56"/>
        <v>10000</v>
      </c>
      <c r="AI39" s="378"/>
      <c r="AJ39" s="68">
        <f t="shared" si="57"/>
        <v>3</v>
      </c>
      <c r="AK39" s="67">
        <v>0</v>
      </c>
      <c r="AL39" s="68">
        <v>0</v>
      </c>
      <c r="AM39" s="68">
        <v>0</v>
      </c>
      <c r="AN39" s="68">
        <v>0</v>
      </c>
      <c r="AO39" s="68">
        <v>1</v>
      </c>
      <c r="AP39" s="68">
        <v>0</v>
      </c>
      <c r="AQ39" s="39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0" t="s">
        <v>207</v>
      </c>
      <c r="BM39" s="353"/>
      <c r="BN39" s="353"/>
      <c r="BO39" s="353"/>
      <c r="BP39" s="353"/>
      <c r="BQ39" s="353"/>
      <c r="BR39" s="197"/>
      <c r="BS39" s="197"/>
      <c r="BT39" s="370" t="s">
        <v>208</v>
      </c>
      <c r="BU39" s="353"/>
      <c r="BV39" s="353"/>
      <c r="BW39" s="353"/>
      <c r="BX39" s="353"/>
      <c r="BY39" s="353"/>
      <c r="BZ39" s="197"/>
      <c r="CA39" s="370" t="s">
        <v>209</v>
      </c>
      <c r="CB39" s="353"/>
      <c r="CC39" s="353"/>
      <c r="CD39" s="353"/>
      <c r="CE39" s="353"/>
      <c r="CF39" s="353"/>
      <c r="CG39" s="197"/>
      <c r="CH39" s="370" t="s">
        <v>210</v>
      </c>
      <c r="CI39" s="353"/>
      <c r="CJ39" s="353"/>
      <c r="CK39" s="353"/>
      <c r="CL39" s="353"/>
      <c r="CM39" s="353"/>
      <c r="CN39" s="197"/>
      <c r="CO39" s="370" t="s">
        <v>211</v>
      </c>
      <c r="CP39" s="353"/>
      <c r="CQ39" s="353"/>
      <c r="CR39" s="353"/>
      <c r="CS39" s="353"/>
      <c r="CT39" s="353"/>
      <c r="CU39" s="197"/>
      <c r="CV39" s="370" t="s">
        <v>212</v>
      </c>
      <c r="CW39" s="353"/>
      <c r="CX39" s="353"/>
      <c r="CY39" s="353"/>
      <c r="CZ39" s="353"/>
      <c r="DA39" s="353"/>
      <c r="DB39" s="199"/>
      <c r="DC39" s="199"/>
    </row>
    <row r="40" spans="1:107" s="200" customFormat="1" ht="22.5" customHeight="1" x14ac:dyDescent="0.2">
      <c r="A40" s="15">
        <v>4</v>
      </c>
      <c r="B40" s="25" t="str">
        <f t="shared" si="55"/>
        <v>Black Orc</v>
      </c>
      <c r="C40" s="253" t="s">
        <v>1854</v>
      </c>
      <c r="D40" s="321" t="s">
        <v>1847</v>
      </c>
      <c r="E40" s="322"/>
      <c r="F40" s="321"/>
      <c r="G40" s="322"/>
      <c r="H40" s="321"/>
      <c r="I40" s="351"/>
      <c r="J40" s="351"/>
      <c r="K40" s="322"/>
      <c r="L40" s="321"/>
      <c r="M40" s="322"/>
      <c r="N40" s="321"/>
      <c r="O40" s="322"/>
      <c r="P40" s="321"/>
      <c r="Q40" s="322"/>
      <c r="R40" s="321"/>
      <c r="S40" s="322"/>
      <c r="T40" s="321"/>
      <c r="U40" s="322"/>
      <c r="V40" s="321"/>
      <c r="W40" s="322"/>
      <c r="X40" s="321"/>
      <c r="Y40" s="322"/>
      <c r="Z40" s="321"/>
      <c r="AA40" s="322"/>
      <c r="AB40" s="354">
        <v>0</v>
      </c>
      <c r="AC40" s="340"/>
      <c r="AD40" s="355"/>
      <c r="AE40" s="356"/>
      <c r="AF40" s="371"/>
      <c r="AG40" s="372"/>
      <c r="AH40" s="377">
        <f t="shared" si="56"/>
        <v>10000</v>
      </c>
      <c r="AI40" s="378"/>
      <c r="AJ40" s="68">
        <f t="shared" si="57"/>
        <v>3</v>
      </c>
      <c r="AK40" s="67">
        <v>0</v>
      </c>
      <c r="AL40" s="68">
        <v>0</v>
      </c>
      <c r="AM40" s="68">
        <v>0</v>
      </c>
      <c r="AN40" s="68">
        <v>0</v>
      </c>
      <c r="AO40" s="68">
        <v>0</v>
      </c>
      <c r="AP40" s="68">
        <v>0</v>
      </c>
      <c r="AQ40" s="390"/>
      <c r="AR40" s="199"/>
      <c r="AS40" s="199"/>
      <c r="AT40" s="199"/>
      <c r="AU40" s="199"/>
      <c r="AV40" s="199"/>
      <c r="AW40" s="199"/>
      <c r="AX40" s="199"/>
      <c r="AY40" s="8" t="str">
        <f t="shared" ref="AY40:AY53" si="58">B37</f>
        <v>Trained Troll</v>
      </c>
      <c r="AZ40" s="8" t="str">
        <f>IFERROR((VLOOKUP($BP$1&amp;B37,Teams!D:S,12,0)),0)</f>
        <v>S</v>
      </c>
      <c r="BA40" s="8" t="str">
        <f>IFERROR((VLOOKUP($BP$1&amp;B37,Teams!D:S,13,0)),0)</f>
        <v>S</v>
      </c>
      <c r="BB40" s="8" t="str">
        <f>IFERROR((VLOOKUP($BP$1&amp;B37,Teams!D:S,14,0)),0)</f>
        <v>P</v>
      </c>
      <c r="BC40" s="8" t="str">
        <f>IFERROR((VLOOKUP($BP$1&amp;B37,Teams!D:S,15,0)),0)</f>
        <v>S</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Black Orc</v>
      </c>
      <c r="C41" s="253"/>
      <c r="D41" s="321"/>
      <c r="E41" s="322"/>
      <c r="F41" s="321"/>
      <c r="G41" s="322"/>
      <c r="H41" s="321"/>
      <c r="I41" s="351"/>
      <c r="J41" s="351"/>
      <c r="K41" s="322"/>
      <c r="L41" s="321"/>
      <c r="M41" s="322"/>
      <c r="N41" s="321"/>
      <c r="O41" s="322"/>
      <c r="P41" s="321"/>
      <c r="Q41" s="322"/>
      <c r="R41" s="321"/>
      <c r="S41" s="322"/>
      <c r="T41" s="321"/>
      <c r="U41" s="322"/>
      <c r="V41" s="321"/>
      <c r="W41" s="322"/>
      <c r="X41" s="321"/>
      <c r="Y41" s="322"/>
      <c r="Z41" s="321"/>
      <c r="AA41" s="322"/>
      <c r="AB41" s="354">
        <v>0</v>
      </c>
      <c r="AC41" s="340"/>
      <c r="AD41" s="355"/>
      <c r="AE41" s="356"/>
      <c r="AF41" s="355"/>
      <c r="AG41" s="356"/>
      <c r="AH41" s="377">
        <f t="shared" si="56"/>
        <v>0</v>
      </c>
      <c r="AI41" s="378"/>
      <c r="AJ41" s="68">
        <f t="shared" si="57"/>
        <v>0</v>
      </c>
      <c r="AK41" s="67">
        <v>0</v>
      </c>
      <c r="AL41" s="68">
        <v>0</v>
      </c>
      <c r="AM41" s="68">
        <v>0</v>
      </c>
      <c r="AN41" s="68">
        <v>0</v>
      </c>
      <c r="AO41" s="68">
        <v>0</v>
      </c>
      <c r="AP41" s="68">
        <v>0</v>
      </c>
      <c r="AQ41" s="390"/>
      <c r="AR41" s="199"/>
      <c r="AS41" s="199"/>
      <c r="AT41" s="199"/>
      <c r="AU41" s="199"/>
      <c r="AV41" s="199"/>
      <c r="AW41" s="199"/>
      <c r="AX41" s="199"/>
      <c r="AY41" s="8" t="str">
        <f t="shared" si="58"/>
        <v>Black Orc</v>
      </c>
      <c r="AZ41" s="8" t="str">
        <f>IFERROR((VLOOKUP($BP$1&amp;B38,Teams!D:S,12,0)),0)</f>
        <v>P</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Black Orc</v>
      </c>
      <c r="C42" s="253"/>
      <c r="D42" s="321"/>
      <c r="E42" s="322"/>
      <c r="F42" s="321"/>
      <c r="G42" s="322"/>
      <c r="H42" s="321"/>
      <c r="I42" s="351"/>
      <c r="J42" s="351"/>
      <c r="K42" s="322"/>
      <c r="L42" s="321"/>
      <c r="M42" s="322"/>
      <c r="N42" s="321"/>
      <c r="O42" s="322"/>
      <c r="P42" s="321"/>
      <c r="Q42" s="322"/>
      <c r="R42" s="321"/>
      <c r="S42" s="322"/>
      <c r="T42" s="321"/>
      <c r="U42" s="322"/>
      <c r="V42" s="321"/>
      <c r="W42" s="322"/>
      <c r="X42" s="321"/>
      <c r="Y42" s="322"/>
      <c r="Z42" s="321"/>
      <c r="AA42" s="322"/>
      <c r="AB42" s="354">
        <v>0</v>
      </c>
      <c r="AC42" s="340"/>
      <c r="AD42" s="355"/>
      <c r="AE42" s="356"/>
      <c r="AF42" s="355"/>
      <c r="AG42" s="356"/>
      <c r="AH42" s="377">
        <f t="shared" si="56"/>
        <v>0</v>
      </c>
      <c r="AI42" s="378"/>
      <c r="AJ42" s="68">
        <f t="shared" si="57"/>
        <v>0</v>
      </c>
      <c r="AK42" s="67">
        <v>0</v>
      </c>
      <c r="AL42" s="68">
        <v>0</v>
      </c>
      <c r="AM42" s="68">
        <v>0</v>
      </c>
      <c r="AN42" s="68">
        <v>0</v>
      </c>
      <c r="AO42" s="68">
        <v>0</v>
      </c>
      <c r="AP42" s="68">
        <v>0</v>
      </c>
      <c r="AQ42" s="390"/>
      <c r="AR42" s="199"/>
      <c r="AS42" s="199"/>
      <c r="AT42" s="199"/>
      <c r="AU42" s="199"/>
      <c r="AV42" s="199"/>
      <c r="AW42" s="199"/>
      <c r="AX42" s="199"/>
      <c r="AY42" s="8" t="str">
        <f t="shared" si="58"/>
        <v>Black Orc</v>
      </c>
      <c r="AZ42" s="8" t="str">
        <f>IFERROR((VLOOKUP($BP$1&amp;B39,Teams!D:S,12,0)),0)</f>
        <v>P</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10000</v>
      </c>
      <c r="BK42"/>
      <c r="BL42" s="8" t="str">
        <f t="shared" si="88"/>
        <v>S</v>
      </c>
      <c r="BM42" s="8">
        <f t="shared" si="89"/>
        <v>0</v>
      </c>
      <c r="BN42" s="8">
        <f t="shared" si="90"/>
        <v>0</v>
      </c>
      <c r="BO42" s="8">
        <f t="shared" si="91"/>
        <v>0</v>
      </c>
      <c r="BP42" s="8">
        <f t="shared" si="92"/>
        <v>0</v>
      </c>
      <c r="BQ42" s="8">
        <f t="shared" si="93"/>
        <v>0</v>
      </c>
      <c r="BR42"/>
      <c r="BS42"/>
      <c r="BT42" s="8" t="str">
        <f t="shared" si="94"/>
        <v>P</v>
      </c>
      <c r="BU42" s="8">
        <f t="shared" si="59"/>
        <v>0</v>
      </c>
      <c r="BV42" s="8">
        <f t="shared" si="60"/>
        <v>0</v>
      </c>
      <c r="BW42" s="8">
        <f t="shared" si="61"/>
        <v>0</v>
      </c>
      <c r="BX42" s="8">
        <f t="shared" si="62"/>
        <v>0</v>
      </c>
      <c r="BY42" s="8">
        <f t="shared" si="63"/>
        <v>0</v>
      </c>
      <c r="BZ42" s="8"/>
      <c r="CA42" s="8" t="str">
        <f t="shared" si="64"/>
        <v>Random</v>
      </c>
      <c r="CB42" s="8">
        <f t="shared" si="65"/>
        <v>0</v>
      </c>
      <c r="CC42" s="8">
        <f t="shared" si="66"/>
        <v>0</v>
      </c>
      <c r="CD42" s="8">
        <f t="shared" si="67"/>
        <v>0</v>
      </c>
      <c r="CE42" s="8">
        <f t="shared" si="68"/>
        <v>0</v>
      </c>
      <c r="CF42" s="8">
        <f t="shared" si="69"/>
        <v>0</v>
      </c>
      <c r="CG42" s="8"/>
      <c r="CH42" s="8">
        <f t="shared" si="95"/>
        <v>10000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3</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Black Orc</v>
      </c>
      <c r="C43" s="253"/>
      <c r="D43" s="321"/>
      <c r="E43" s="322"/>
      <c r="F43" s="321"/>
      <c r="G43" s="322"/>
      <c r="H43" s="321"/>
      <c r="I43" s="351"/>
      <c r="J43" s="351"/>
      <c r="K43" s="322"/>
      <c r="L43" s="321"/>
      <c r="M43" s="322"/>
      <c r="N43" s="321"/>
      <c r="O43" s="322"/>
      <c r="P43" s="321"/>
      <c r="Q43" s="322"/>
      <c r="R43" s="321"/>
      <c r="S43" s="322"/>
      <c r="T43" s="321"/>
      <c r="U43" s="322"/>
      <c r="V43" s="321"/>
      <c r="W43" s="322"/>
      <c r="X43" s="321"/>
      <c r="Y43" s="322"/>
      <c r="Z43" s="321"/>
      <c r="AA43" s="322"/>
      <c r="AB43" s="354">
        <v>0</v>
      </c>
      <c r="AC43" s="340"/>
      <c r="AD43" s="355"/>
      <c r="AE43" s="356"/>
      <c r="AF43" s="355"/>
      <c r="AG43" s="356"/>
      <c r="AH43" s="377">
        <f t="shared" si="56"/>
        <v>0</v>
      </c>
      <c r="AI43" s="378"/>
      <c r="AJ43" s="68">
        <f t="shared" si="57"/>
        <v>0</v>
      </c>
      <c r="AK43" s="67">
        <v>0</v>
      </c>
      <c r="AL43" s="68">
        <v>0</v>
      </c>
      <c r="AM43" s="68">
        <v>0</v>
      </c>
      <c r="AN43" s="68">
        <v>0</v>
      </c>
      <c r="AO43" s="68">
        <v>0</v>
      </c>
      <c r="AP43" s="68">
        <v>0</v>
      </c>
      <c r="AQ43" s="390"/>
      <c r="AR43" s="199"/>
      <c r="AS43" s="199"/>
      <c r="AT43" s="199"/>
      <c r="AU43" s="199"/>
      <c r="AV43" s="199"/>
      <c r="AW43" s="199"/>
      <c r="AX43" s="199"/>
      <c r="AY43" s="8" t="str">
        <f t="shared" si="58"/>
        <v>Black Orc</v>
      </c>
      <c r="AZ43" s="8" t="str">
        <f>IFERROR((VLOOKUP($BP$1&amp;B40,Teams!D:S,12,0)),0)</f>
        <v>P</v>
      </c>
      <c r="BA43" s="8" t="str">
        <f>IFERROR((VLOOKUP($BP$1&amp;B40,Teams!D:S,13,0)),0)</f>
        <v>S</v>
      </c>
      <c r="BB43" s="8" t="str">
        <f>IFERROR((VLOOKUP($BP$1&amp;B40,Teams!D:S,14,0)),0)</f>
        <v>P</v>
      </c>
      <c r="BC43" s="8" t="str">
        <f>IFERROR((VLOOKUP($BP$1&amp;B40,Teams!D:S,15,0)),0)</f>
        <v>S</v>
      </c>
      <c r="BD43" s="8">
        <f>IFERROR((VLOOKUP($BP$1&amp;B40,Teams!D:S,16,0)),0)</f>
        <v>0</v>
      </c>
      <c r="BE43" s="8">
        <v>20000</v>
      </c>
      <c r="BF43" s="8">
        <v>10000</v>
      </c>
      <c r="BG43" s="8">
        <v>40000</v>
      </c>
      <c r="BH43" s="8">
        <v>20000</v>
      </c>
      <c r="BI43" s="8">
        <v>80000</v>
      </c>
      <c r="BJ43" s="8">
        <f t="shared" si="87"/>
        <v>10000</v>
      </c>
      <c r="BK43"/>
      <c r="BL43" s="8" t="str">
        <f t="shared" si="88"/>
        <v>S</v>
      </c>
      <c r="BM43" s="8">
        <f t="shared" si="89"/>
        <v>0</v>
      </c>
      <c r="BN43" s="8">
        <f t="shared" si="90"/>
        <v>0</v>
      </c>
      <c r="BO43" s="8">
        <f t="shared" si="91"/>
        <v>0</v>
      </c>
      <c r="BP43" s="8">
        <f t="shared" si="92"/>
        <v>0</v>
      </c>
      <c r="BQ43" s="8">
        <f t="shared" si="93"/>
        <v>0</v>
      </c>
      <c r="BR43"/>
      <c r="BS43"/>
      <c r="BT43" s="8" t="str">
        <f t="shared" si="94"/>
        <v>P</v>
      </c>
      <c r="BU43" s="8">
        <f t="shared" si="59"/>
        <v>0</v>
      </c>
      <c r="BV43" s="8">
        <f t="shared" si="60"/>
        <v>0</v>
      </c>
      <c r="BW43" s="8">
        <f t="shared" si="61"/>
        <v>0</v>
      </c>
      <c r="BX43" s="8">
        <f t="shared" si="62"/>
        <v>0</v>
      </c>
      <c r="BY43" s="8">
        <f t="shared" si="63"/>
        <v>0</v>
      </c>
      <c r="BZ43" s="8"/>
      <c r="CA43" s="8" t="str">
        <f t="shared" si="64"/>
        <v>Random</v>
      </c>
      <c r="CB43" s="8">
        <f t="shared" si="65"/>
        <v>0</v>
      </c>
      <c r="CC43" s="8">
        <f t="shared" si="66"/>
        <v>0</v>
      </c>
      <c r="CD43" s="8">
        <f t="shared" si="67"/>
        <v>0</v>
      </c>
      <c r="CE43" s="8">
        <f t="shared" si="68"/>
        <v>0</v>
      </c>
      <c r="CF43" s="8">
        <f t="shared" si="69"/>
        <v>0</v>
      </c>
      <c r="CG43" s="8"/>
      <c r="CH43" s="8">
        <f t="shared" si="95"/>
        <v>10000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3</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Goblin Bruiser</v>
      </c>
      <c r="C44" s="253"/>
      <c r="D44" s="321"/>
      <c r="E44" s="322"/>
      <c r="F44" s="321"/>
      <c r="G44" s="322"/>
      <c r="H44" s="321"/>
      <c r="I44" s="351"/>
      <c r="J44" s="351"/>
      <c r="K44" s="322"/>
      <c r="L44" s="321"/>
      <c r="M44" s="322"/>
      <c r="N44" s="321"/>
      <c r="O44" s="322"/>
      <c r="P44" s="321"/>
      <c r="Q44" s="322"/>
      <c r="R44" s="321"/>
      <c r="S44" s="322"/>
      <c r="T44" s="321"/>
      <c r="U44" s="322"/>
      <c r="V44" s="321"/>
      <c r="W44" s="322"/>
      <c r="X44" s="321"/>
      <c r="Y44" s="322"/>
      <c r="Z44" s="321"/>
      <c r="AA44" s="322"/>
      <c r="AB44" s="354">
        <v>0</v>
      </c>
      <c r="AC44" s="340"/>
      <c r="AD44" s="355"/>
      <c r="AE44" s="356"/>
      <c r="AF44" s="355"/>
      <c r="AG44" s="356"/>
      <c r="AH44" s="377">
        <f t="shared" si="56"/>
        <v>0</v>
      </c>
      <c r="AI44" s="378"/>
      <c r="AJ44" s="68">
        <f t="shared" si="57"/>
        <v>0</v>
      </c>
      <c r="AK44" s="67">
        <v>1</v>
      </c>
      <c r="AL44" s="68">
        <v>0</v>
      </c>
      <c r="AM44" s="68">
        <v>0</v>
      </c>
      <c r="AN44" s="68">
        <v>0</v>
      </c>
      <c r="AO44" s="68">
        <v>0</v>
      </c>
      <c r="AP44" s="68">
        <v>0</v>
      </c>
      <c r="AQ44" s="390"/>
      <c r="AR44" s="199"/>
      <c r="AS44" s="199"/>
      <c r="AT44" s="199"/>
      <c r="AU44" s="199"/>
      <c r="AV44" s="199"/>
      <c r="AW44" s="199"/>
      <c r="AX44" s="199"/>
      <c r="AY44" s="8" t="str">
        <f t="shared" si="58"/>
        <v>Black Orc</v>
      </c>
      <c r="AZ44" s="8" t="str">
        <f>IFERROR((VLOOKUP($BP$1&amp;B41,Teams!D:S,12,0)),0)</f>
        <v>P</v>
      </c>
      <c r="BA44" s="8" t="str">
        <f>IFERROR((VLOOKUP($BP$1&amp;B41,Teams!D:S,13,0)),0)</f>
        <v>S</v>
      </c>
      <c r="BB44" s="8" t="str">
        <f>IFERROR((VLOOKUP($BP$1&amp;B41,Teams!D:S,14,0)),0)</f>
        <v>P</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Goblin Bruiser</v>
      </c>
      <c r="C45" s="253" t="s">
        <v>1852</v>
      </c>
      <c r="D45" s="321" t="s">
        <v>1847</v>
      </c>
      <c r="E45" s="322"/>
      <c r="F45" s="321"/>
      <c r="G45" s="322"/>
      <c r="H45" s="321"/>
      <c r="I45" s="351"/>
      <c r="J45" s="351"/>
      <c r="K45" s="322"/>
      <c r="L45" s="321"/>
      <c r="M45" s="322"/>
      <c r="N45" s="321"/>
      <c r="O45" s="322"/>
      <c r="P45" s="321"/>
      <c r="Q45" s="322"/>
      <c r="R45" s="321"/>
      <c r="S45" s="322"/>
      <c r="T45" s="321"/>
      <c r="U45" s="322"/>
      <c r="V45" s="321"/>
      <c r="W45" s="322"/>
      <c r="X45" s="321"/>
      <c r="Y45" s="322"/>
      <c r="Z45" s="321"/>
      <c r="AA45" s="322"/>
      <c r="AB45" s="354">
        <v>0</v>
      </c>
      <c r="AC45" s="340"/>
      <c r="AD45" s="355"/>
      <c r="AE45" s="356"/>
      <c r="AF45" s="355"/>
      <c r="AG45" s="356"/>
      <c r="AH45" s="377">
        <f t="shared" si="56"/>
        <v>10000</v>
      </c>
      <c r="AI45" s="378"/>
      <c r="AJ45" s="68">
        <f t="shared" si="57"/>
        <v>3</v>
      </c>
      <c r="AK45" s="67">
        <v>0</v>
      </c>
      <c r="AL45" s="68">
        <v>0</v>
      </c>
      <c r="AM45" s="68">
        <v>0</v>
      </c>
      <c r="AN45" s="68">
        <v>0</v>
      </c>
      <c r="AO45" s="68">
        <v>0</v>
      </c>
      <c r="AP45" s="68">
        <v>0</v>
      </c>
      <c r="AQ45" s="390"/>
      <c r="AR45" s="199"/>
      <c r="AS45" s="199"/>
      <c r="AT45" s="199"/>
      <c r="AU45" s="199"/>
      <c r="AV45" s="199"/>
      <c r="AW45" s="199"/>
      <c r="AX45" s="199"/>
      <c r="AY45" s="8" t="str">
        <f t="shared" si="58"/>
        <v>Black Orc</v>
      </c>
      <c r="AZ45" s="8" t="str">
        <f>IFERROR((VLOOKUP($BP$1&amp;B42,Teams!D:S,12,0)),0)</f>
        <v>P</v>
      </c>
      <c r="BA45" s="8" t="str">
        <f>IFERROR((VLOOKUP($BP$1&amp;B42,Teams!D:S,13,0)),0)</f>
        <v>S</v>
      </c>
      <c r="BB45" s="8" t="str">
        <f>IFERROR((VLOOKUP($BP$1&amp;B42,Teams!D:S,14,0)),0)</f>
        <v>P</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Goblin Bruiser</v>
      </c>
      <c r="C46" s="253"/>
      <c r="D46" s="321"/>
      <c r="E46" s="322"/>
      <c r="F46" s="321"/>
      <c r="G46" s="322"/>
      <c r="H46" s="321"/>
      <c r="I46" s="351"/>
      <c r="J46" s="351"/>
      <c r="K46" s="322"/>
      <c r="L46" s="321"/>
      <c r="M46" s="322"/>
      <c r="N46" s="321"/>
      <c r="O46" s="322"/>
      <c r="P46" s="321"/>
      <c r="Q46" s="322"/>
      <c r="R46" s="321"/>
      <c r="S46" s="322"/>
      <c r="T46" s="321"/>
      <c r="U46" s="322"/>
      <c r="V46" s="321"/>
      <c r="W46" s="322"/>
      <c r="X46" s="321"/>
      <c r="Y46" s="322"/>
      <c r="Z46" s="321"/>
      <c r="AA46" s="322"/>
      <c r="AB46" s="354">
        <v>0</v>
      </c>
      <c r="AC46" s="340"/>
      <c r="AD46" s="355"/>
      <c r="AE46" s="356"/>
      <c r="AF46" s="355"/>
      <c r="AG46" s="356"/>
      <c r="AH46" s="377">
        <f t="shared" si="56"/>
        <v>0</v>
      </c>
      <c r="AI46" s="378"/>
      <c r="AJ46" s="68">
        <f t="shared" si="57"/>
        <v>0</v>
      </c>
      <c r="AK46" s="67">
        <v>0</v>
      </c>
      <c r="AL46" s="68">
        <v>0</v>
      </c>
      <c r="AM46" s="68">
        <v>0</v>
      </c>
      <c r="AN46" s="68">
        <v>0</v>
      </c>
      <c r="AO46" s="68">
        <v>0</v>
      </c>
      <c r="AP46" s="68">
        <v>0</v>
      </c>
      <c r="AQ46" s="390"/>
      <c r="AR46" s="199"/>
      <c r="AS46" s="199"/>
      <c r="AT46" s="199"/>
      <c r="AU46" s="199"/>
      <c r="AV46" s="199"/>
      <c r="AW46" s="199"/>
      <c r="AX46" s="199"/>
      <c r="AY46" s="8" t="str">
        <f t="shared" si="58"/>
        <v>Black Orc</v>
      </c>
      <c r="AZ46" s="8" t="str">
        <f>IFERROR((VLOOKUP($BP$1&amp;B43,Teams!D:S,12,0)),0)</f>
        <v>P</v>
      </c>
      <c r="BA46" s="8" t="str">
        <f>IFERROR((VLOOKUP($BP$1&amp;B43,Teams!D:S,13,0)),0)</f>
        <v>S</v>
      </c>
      <c r="BB46" s="8" t="str">
        <f>IFERROR((VLOOKUP($BP$1&amp;B43,Teams!D:S,14,0)),0)</f>
        <v>P</v>
      </c>
      <c r="BC46" s="8" t="str">
        <f>IFERROR((VLOOKUP($BP$1&amp;B43,Teams!D:S,15,0)),0)</f>
        <v>S</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Goblin Bruiser</v>
      </c>
      <c r="C47" s="253" t="s">
        <v>1853</v>
      </c>
      <c r="D47" s="321" t="s">
        <v>1847</v>
      </c>
      <c r="E47" s="322"/>
      <c r="F47" s="321"/>
      <c r="G47" s="322"/>
      <c r="H47" s="321"/>
      <c r="I47" s="351"/>
      <c r="J47" s="351"/>
      <c r="K47" s="322"/>
      <c r="L47" s="321"/>
      <c r="M47" s="322"/>
      <c r="N47" s="321"/>
      <c r="O47" s="322"/>
      <c r="P47" s="321"/>
      <c r="Q47" s="322"/>
      <c r="R47" s="321"/>
      <c r="S47" s="322"/>
      <c r="T47" s="321"/>
      <c r="U47" s="322"/>
      <c r="V47" s="321"/>
      <c r="W47" s="322"/>
      <c r="X47" s="321"/>
      <c r="Y47" s="322"/>
      <c r="Z47" s="321"/>
      <c r="AA47" s="322"/>
      <c r="AB47" s="354">
        <v>0</v>
      </c>
      <c r="AC47" s="340"/>
      <c r="AD47" s="355"/>
      <c r="AE47" s="356"/>
      <c r="AF47" s="355"/>
      <c r="AG47" s="356"/>
      <c r="AH47" s="377">
        <f t="shared" si="56"/>
        <v>10000</v>
      </c>
      <c r="AI47" s="378"/>
      <c r="AJ47" s="68">
        <f t="shared" si="57"/>
        <v>3</v>
      </c>
      <c r="AK47" s="67">
        <v>0</v>
      </c>
      <c r="AL47" s="68">
        <v>0</v>
      </c>
      <c r="AM47" s="68">
        <v>0</v>
      </c>
      <c r="AN47" s="68">
        <v>0</v>
      </c>
      <c r="AO47" s="68">
        <v>0</v>
      </c>
      <c r="AP47" s="68">
        <v>0</v>
      </c>
      <c r="AQ47" s="390"/>
      <c r="AR47" s="199"/>
      <c r="AS47" s="199"/>
      <c r="AT47" s="199"/>
      <c r="AU47" s="199"/>
      <c r="AV47" s="199"/>
      <c r="AW47" s="199"/>
      <c r="AX47" s="199"/>
      <c r="AY47" s="8" t="str">
        <f t="shared" si="58"/>
        <v>Goblin Bruiser</v>
      </c>
      <c r="AZ47" s="8" t="str">
        <f>IFERROR((VLOOKUP($BP$1&amp;B44,Teams!D:S,12,0)),0)</f>
        <v>S</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Journey Goblin</v>
      </c>
      <c r="C48" s="253"/>
      <c r="D48" s="321"/>
      <c r="E48" s="322"/>
      <c r="F48" s="321"/>
      <c r="G48" s="322"/>
      <c r="H48" s="321"/>
      <c r="I48" s="351"/>
      <c r="J48" s="351"/>
      <c r="K48" s="322"/>
      <c r="L48" s="321"/>
      <c r="M48" s="322"/>
      <c r="N48" s="321"/>
      <c r="O48" s="322"/>
      <c r="P48" s="321"/>
      <c r="Q48" s="322"/>
      <c r="R48" s="321"/>
      <c r="S48" s="322"/>
      <c r="T48" s="321"/>
      <c r="U48" s="322"/>
      <c r="V48" s="321"/>
      <c r="W48" s="322"/>
      <c r="X48" s="321"/>
      <c r="Y48" s="322"/>
      <c r="Z48" s="321"/>
      <c r="AA48" s="322"/>
      <c r="AB48" s="354">
        <v>0</v>
      </c>
      <c r="AC48" s="340"/>
      <c r="AD48" s="355"/>
      <c r="AE48" s="356"/>
      <c r="AF48" s="355"/>
      <c r="AG48" s="356"/>
      <c r="AH48" s="377">
        <f t="shared" si="56"/>
        <v>0</v>
      </c>
      <c r="AI48" s="378"/>
      <c r="AJ48" s="68">
        <f t="shared" si="57"/>
        <v>0</v>
      </c>
      <c r="AK48" s="67">
        <v>0</v>
      </c>
      <c r="AL48" s="68">
        <v>0</v>
      </c>
      <c r="AM48" s="68">
        <v>0</v>
      </c>
      <c r="AN48" s="68">
        <v>0</v>
      </c>
      <c r="AO48" s="68">
        <v>0</v>
      </c>
      <c r="AP48" s="68">
        <v>0</v>
      </c>
      <c r="AQ48" s="390"/>
      <c r="AR48" s="199"/>
      <c r="AS48" s="199"/>
      <c r="AT48" s="199"/>
      <c r="AU48" s="199"/>
      <c r="AV48" s="199"/>
      <c r="AW48" s="199"/>
      <c r="AX48" s="199"/>
      <c r="AY48" s="8" t="str">
        <f t="shared" si="58"/>
        <v>Goblin Bruiser</v>
      </c>
      <c r="AZ48" s="8" t="str">
        <f>IFERROR((VLOOKUP($BP$1&amp;B45,Teams!D:S,12,0)),0)</f>
        <v>S</v>
      </c>
      <c r="BA48" s="8" t="str">
        <f>IFERROR((VLOOKUP($BP$1&amp;B45,Teams!D:S,13,0)),0)</f>
        <v>P</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10000</v>
      </c>
      <c r="BK48" s="197"/>
      <c r="BL48" s="8" t="str">
        <f t="shared" si="88"/>
        <v>A</v>
      </c>
      <c r="BM48" s="8">
        <f t="shared" si="89"/>
        <v>0</v>
      </c>
      <c r="BN48" s="8">
        <f t="shared" si="90"/>
        <v>0</v>
      </c>
      <c r="BO48" s="8">
        <f t="shared" si="91"/>
        <v>0</v>
      </c>
      <c r="BP48" s="8">
        <f t="shared" si="92"/>
        <v>0</v>
      </c>
      <c r="BQ48" s="8">
        <f t="shared" si="93"/>
        <v>0</v>
      </c>
      <c r="BR48"/>
      <c r="BS48"/>
      <c r="BT48" s="8" t="str">
        <f t="shared" si="94"/>
        <v>P</v>
      </c>
      <c r="BU48" s="8">
        <f t="shared" si="59"/>
        <v>0</v>
      </c>
      <c r="BV48" s="8">
        <f t="shared" si="60"/>
        <v>0</v>
      </c>
      <c r="BW48" s="8">
        <f t="shared" si="61"/>
        <v>0</v>
      </c>
      <c r="BX48" s="8">
        <f t="shared" si="62"/>
        <v>0</v>
      </c>
      <c r="BY48" s="8">
        <f t="shared" si="63"/>
        <v>0</v>
      </c>
      <c r="BZ48" s="8"/>
      <c r="CA48" s="8" t="str">
        <f t="shared" si="64"/>
        <v>Random</v>
      </c>
      <c r="CB48" s="8">
        <f t="shared" si="65"/>
        <v>0</v>
      </c>
      <c r="CC48" s="8">
        <f t="shared" si="66"/>
        <v>0</v>
      </c>
      <c r="CD48" s="8">
        <f t="shared" si="67"/>
        <v>0</v>
      </c>
      <c r="CE48" s="8">
        <f t="shared" si="68"/>
        <v>0</v>
      </c>
      <c r="CF48" s="8">
        <f t="shared" si="69"/>
        <v>0</v>
      </c>
      <c r="CG48" s="8"/>
      <c r="CH48" s="8">
        <f t="shared" si="95"/>
        <v>10000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3</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 Goblin</v>
      </c>
      <c r="C49" s="253"/>
      <c r="D49" s="321"/>
      <c r="E49" s="322"/>
      <c r="F49" s="321"/>
      <c r="G49" s="322"/>
      <c r="H49" s="321"/>
      <c r="I49" s="351"/>
      <c r="J49" s="351"/>
      <c r="K49" s="322"/>
      <c r="L49" s="321"/>
      <c r="M49" s="322"/>
      <c r="N49" s="321"/>
      <c r="O49" s="322"/>
      <c r="P49" s="321"/>
      <c r="Q49" s="322"/>
      <c r="R49" s="321"/>
      <c r="S49" s="322"/>
      <c r="T49" s="321"/>
      <c r="U49" s="322"/>
      <c r="V49" s="321"/>
      <c r="W49" s="322"/>
      <c r="X49" s="321"/>
      <c r="Y49" s="322"/>
      <c r="Z49" s="321"/>
      <c r="AA49" s="322"/>
      <c r="AB49" s="354">
        <v>0</v>
      </c>
      <c r="AC49" s="340"/>
      <c r="AD49" s="355"/>
      <c r="AE49" s="356"/>
      <c r="AF49" s="355"/>
      <c r="AG49" s="356"/>
      <c r="AH49" s="377">
        <f t="shared" si="56"/>
        <v>0</v>
      </c>
      <c r="AI49" s="378"/>
      <c r="AJ49" s="68">
        <f t="shared" si="57"/>
        <v>0</v>
      </c>
      <c r="AK49" s="67">
        <v>0</v>
      </c>
      <c r="AL49" s="68">
        <v>0</v>
      </c>
      <c r="AM49" s="68">
        <v>0</v>
      </c>
      <c r="AN49" s="68">
        <v>0</v>
      </c>
      <c r="AO49" s="68">
        <v>0</v>
      </c>
      <c r="AP49" s="68">
        <v>0</v>
      </c>
      <c r="AQ49" s="390"/>
      <c r="AR49" s="199"/>
      <c r="AS49" s="199"/>
      <c r="AT49" s="199"/>
      <c r="AU49" s="199"/>
      <c r="AV49" s="199"/>
      <c r="AW49" s="199"/>
      <c r="AX49" s="199"/>
      <c r="AY49" s="8" t="str">
        <f t="shared" si="58"/>
        <v>Goblin Bruiser</v>
      </c>
      <c r="AZ49" s="8" t="str">
        <f>IFERROR((VLOOKUP($BP$1&amp;B46,Teams!D:S,12,0)),0)</f>
        <v>S</v>
      </c>
      <c r="BA49" s="8" t="str">
        <f>IFERROR((VLOOKUP($BP$1&amp;B46,Teams!D:S,13,0)),0)</f>
        <v>P</v>
      </c>
      <c r="BB49" s="8" t="str">
        <f>IFERROR((VLOOKUP($BP$1&amp;B46,Teams!D:S,14,0)),0)</f>
        <v>S</v>
      </c>
      <c r="BC49" s="8" t="str">
        <f>IFERROR((VLOOKUP($BP$1&amp;B46,Teams!D:S,15,0)),0)</f>
        <v>S</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 Goblin</v>
      </c>
      <c r="C50" s="253"/>
      <c r="D50" s="321"/>
      <c r="E50" s="322"/>
      <c r="F50" s="321"/>
      <c r="G50" s="322"/>
      <c r="H50" s="321"/>
      <c r="I50" s="351"/>
      <c r="J50" s="351"/>
      <c r="K50" s="322"/>
      <c r="L50" s="321"/>
      <c r="M50" s="322"/>
      <c r="N50" s="321"/>
      <c r="O50" s="322"/>
      <c r="P50" s="321"/>
      <c r="Q50" s="322"/>
      <c r="R50" s="321"/>
      <c r="S50" s="322"/>
      <c r="T50" s="321"/>
      <c r="U50" s="322"/>
      <c r="V50" s="321"/>
      <c r="W50" s="322"/>
      <c r="X50" s="321"/>
      <c r="Y50" s="322"/>
      <c r="Z50" s="321"/>
      <c r="AA50" s="322"/>
      <c r="AB50" s="354">
        <v>0</v>
      </c>
      <c r="AC50" s="340"/>
      <c r="AD50" s="355"/>
      <c r="AE50" s="356"/>
      <c r="AF50" s="355"/>
      <c r="AG50" s="356"/>
      <c r="AH50" s="377">
        <f t="shared" si="56"/>
        <v>0</v>
      </c>
      <c r="AI50" s="378"/>
      <c r="AJ50" s="68">
        <f t="shared" si="57"/>
        <v>0</v>
      </c>
      <c r="AK50" s="67">
        <v>0</v>
      </c>
      <c r="AL50" s="68">
        <v>0</v>
      </c>
      <c r="AM50" s="68">
        <v>0</v>
      </c>
      <c r="AN50" s="68">
        <v>0</v>
      </c>
      <c r="AO50" s="68">
        <v>0</v>
      </c>
      <c r="AP50" s="68">
        <v>0</v>
      </c>
      <c r="AQ50" s="390"/>
      <c r="AR50" s="199"/>
      <c r="AS50" s="199"/>
      <c r="AT50" s="199"/>
      <c r="AU50" s="199"/>
      <c r="AV50" s="199"/>
      <c r="AW50" s="199"/>
      <c r="AX50" s="199"/>
      <c r="AY50" s="8" t="str">
        <f t="shared" si="58"/>
        <v>Goblin Bruiser</v>
      </c>
      <c r="AZ50" s="8" t="str">
        <f>IFERROR((VLOOKUP($BP$1&amp;B47,Teams!D:S,12,0)),0)</f>
        <v>S</v>
      </c>
      <c r="BA50" s="8" t="str">
        <f>IFERROR((VLOOKUP($BP$1&amp;B47,Teams!D:S,13,0)),0)</f>
        <v>P</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10000</v>
      </c>
      <c r="BK50" s="197"/>
      <c r="BL50" s="8" t="str">
        <f t="shared" si="88"/>
        <v>A</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21"/>
      <c r="E51" s="322"/>
      <c r="F51" s="321"/>
      <c r="G51" s="322"/>
      <c r="H51" s="321"/>
      <c r="I51" s="351"/>
      <c r="J51" s="351"/>
      <c r="K51" s="322"/>
      <c r="L51" s="321"/>
      <c r="M51" s="322"/>
      <c r="N51" s="321"/>
      <c r="O51" s="322"/>
      <c r="P51" s="321"/>
      <c r="Q51" s="322"/>
      <c r="R51" s="321"/>
      <c r="S51" s="322"/>
      <c r="T51" s="321"/>
      <c r="U51" s="322"/>
      <c r="V51" s="321"/>
      <c r="W51" s="322"/>
      <c r="X51" s="321"/>
      <c r="Y51" s="322"/>
      <c r="Z51" s="321"/>
      <c r="AA51" s="322"/>
      <c r="AB51" s="354">
        <v>0</v>
      </c>
      <c r="AC51" s="340"/>
      <c r="AD51" s="355"/>
      <c r="AE51" s="356"/>
      <c r="AF51" s="355"/>
      <c r="AG51" s="356"/>
      <c r="AH51" s="377">
        <f t="shared" si="56"/>
        <v>0</v>
      </c>
      <c r="AI51" s="378"/>
      <c r="AJ51" s="68">
        <f t="shared" si="57"/>
        <v>0</v>
      </c>
      <c r="AK51" s="67">
        <v>0</v>
      </c>
      <c r="AL51" s="68">
        <v>0</v>
      </c>
      <c r="AM51" s="68">
        <v>0</v>
      </c>
      <c r="AN51" s="68">
        <v>0</v>
      </c>
      <c r="AO51" s="68">
        <v>0</v>
      </c>
      <c r="AP51" s="68">
        <v>0</v>
      </c>
      <c r="AQ51" s="390"/>
      <c r="AR51" s="199"/>
      <c r="AS51" s="199"/>
      <c r="AT51" s="199"/>
      <c r="AU51" s="199"/>
      <c r="AV51" s="199"/>
      <c r="AW51" s="199"/>
      <c r="AX51" s="199"/>
      <c r="AY51" s="8" t="str">
        <f t="shared" si="58"/>
        <v>Journey Goblin</v>
      </c>
      <c r="AZ51" s="8" t="str">
        <f>IFERROR((VLOOKUP($BP$1&amp;B48,Teams!D:S,12,0)),0)</f>
        <v>S</v>
      </c>
      <c r="BA51" s="8" t="str">
        <f>IFERROR((VLOOKUP($BP$1&amp;B48,Teams!D:S,13,0)),0)</f>
        <v>P</v>
      </c>
      <c r="BB51" s="8" t="str">
        <f>IFERROR((VLOOKUP($BP$1&amp;B48,Teams!D:S,14,0)),0)</f>
        <v>S</v>
      </c>
      <c r="BC51" s="8" t="str">
        <f>IFERROR((VLOOKUP($BP$1&amp;B48,Teams!D:S,15,0)),0)</f>
        <v>S</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33"/>
      <c r="E52" s="334"/>
      <c r="F52" s="333"/>
      <c r="G52" s="334"/>
      <c r="H52" s="321"/>
      <c r="I52" s="351"/>
      <c r="J52" s="351"/>
      <c r="K52" s="322"/>
      <c r="L52" s="333"/>
      <c r="M52" s="334"/>
      <c r="N52" s="321"/>
      <c r="O52" s="322"/>
      <c r="P52" s="333"/>
      <c r="Q52" s="334"/>
      <c r="R52" s="321"/>
      <c r="S52" s="322"/>
      <c r="T52" s="333"/>
      <c r="U52" s="334"/>
      <c r="V52" s="321"/>
      <c r="W52" s="322"/>
      <c r="X52" s="333"/>
      <c r="Y52" s="334"/>
      <c r="Z52" s="321"/>
      <c r="AA52" s="322"/>
      <c r="AB52" s="354">
        <v>0</v>
      </c>
      <c r="AC52" s="340"/>
      <c r="AD52" s="355"/>
      <c r="AE52" s="356"/>
      <c r="AF52" s="355"/>
      <c r="AG52" s="356"/>
      <c r="AH52" s="377">
        <f t="shared" si="56"/>
        <v>0</v>
      </c>
      <c r="AI52" s="378"/>
      <c r="AJ52" s="68">
        <f>IFERROR((SUM(CV55:DA55)+AF52),0)</f>
        <v>0</v>
      </c>
      <c r="AK52" s="69">
        <v>0</v>
      </c>
      <c r="AL52" s="68">
        <v>0</v>
      </c>
      <c r="AM52" s="68">
        <v>0</v>
      </c>
      <c r="AN52" s="68">
        <v>0</v>
      </c>
      <c r="AO52" s="68">
        <v>0</v>
      </c>
      <c r="AP52" s="68">
        <v>0</v>
      </c>
      <c r="AQ52" s="390"/>
      <c r="AR52" s="199"/>
      <c r="AS52" s="199"/>
      <c r="AT52" s="199"/>
      <c r="AU52" s="199"/>
      <c r="AV52" s="199"/>
      <c r="AW52" s="199"/>
      <c r="AX52" s="199"/>
      <c r="AY52" s="8" t="str">
        <f t="shared" si="58"/>
        <v>Journey Goblin</v>
      </c>
      <c r="AZ52" s="8" t="str">
        <f>IFERROR((VLOOKUP($BP$1&amp;B49,Teams!D:S,12,0)),0)</f>
        <v>S</v>
      </c>
      <c r="BA52" s="8" t="str">
        <f>IFERROR((VLOOKUP($BP$1&amp;B49,Teams!D:S,13,0)),0)</f>
        <v>P</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c r="AR53" s="199"/>
      <c r="AS53" s="199"/>
      <c r="AT53" s="199"/>
      <c r="AU53" s="199"/>
      <c r="AV53" s="199"/>
      <c r="AW53" s="199"/>
      <c r="AX53" s="199"/>
      <c r="AY53" s="8" t="str">
        <f t="shared" si="58"/>
        <v>Journey Goblin</v>
      </c>
      <c r="AZ53" s="8" t="str">
        <f>IFERROR((VLOOKUP($BP$1&amp;B50,Teams!D:S,12,0)),0)</f>
        <v>S</v>
      </c>
      <c r="BA53" s="8" t="str">
        <f>IFERROR((VLOOKUP($BP$1&amp;B50,Teams!D:S,13,0)),0)</f>
        <v>P</v>
      </c>
      <c r="BB53" s="8" t="str">
        <f>IFERROR((VLOOKUP($BP$1&amp;B50,Teams!D:S,14,0)),0)</f>
        <v>S</v>
      </c>
      <c r="BC53" s="8" t="str">
        <f>IFERROR((VLOOKUP($BP$1&amp;B50,Teams!D:S,15,0)),0)</f>
        <v>S</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M</v>
      </c>
      <c r="CO57" s="8" t="str">
        <f>VLOOKUP(CO58,Teams!$D:$T,17,FALSE)</f>
        <v>M</v>
      </c>
      <c r="CP57" s="8" t="str">
        <f>VLOOKUP(CP58,Teams!$D:$T,17,FALSE)</f>
        <v>M</v>
      </c>
      <c r="CQ57" s="8" t="str">
        <f>VLOOKUP(CQ58,Teams!$D:$T,17,FALSE)</f>
        <v>M</v>
      </c>
      <c r="CR57" s="8" t="str">
        <f>VLOOKUP(CR58,Teams!$D:$T,17,FALSE)</f>
        <v>M</v>
      </c>
      <c r="CS57" s="8" t="str">
        <f>VLOOKUP(CS58,Teams!$D:$T,17,FALSE)</f>
        <v>M</v>
      </c>
      <c r="CT57" s="8" t="str">
        <f>VLOOKUP(CT58,Teams!$D:$T,17,FALSE)</f>
        <v>M</v>
      </c>
      <c r="CU57" s="8" t="str">
        <f>VLOOKUP(CU58,Teams!$D:$T,17,FALSE)</f>
        <v>M</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Black OrcTrained Troll</v>
      </c>
      <c r="CI58" s="223" t="str">
        <f>$BP$1&amp;$D3</f>
        <v>Black OrcBlack Orc</v>
      </c>
      <c r="CJ58" s="223" t="str">
        <f>$BP$1&amp;$D4</f>
        <v>Black OrcBlack Orc</v>
      </c>
      <c r="CK58" s="223" t="str">
        <f>$BP$1&amp;$D5</f>
        <v>Black OrcBlack Orc</v>
      </c>
      <c r="CL58" s="223" t="str">
        <f>$BP$1&amp;$D6</f>
        <v>Black OrcBlack Orc</v>
      </c>
      <c r="CM58" s="223" t="str">
        <f>$BP$1&amp;$D7</f>
        <v>Black OrcBlack Orc</v>
      </c>
      <c r="CN58" s="223" t="str">
        <f>$BP$1&amp;$D8</f>
        <v>Black OrcBlack Orc</v>
      </c>
      <c r="CO58" s="223" t="str">
        <f>$BP$1&amp;$D9</f>
        <v>Black OrcGoblin Bruiser</v>
      </c>
      <c r="CP58" s="223" t="str">
        <f>$BP$1&amp;$D10</f>
        <v>Black OrcGoblin Bruiser</v>
      </c>
      <c r="CQ58" s="223" t="str">
        <f>$BP$1&amp;$D11</f>
        <v>Black OrcGoblin Bruiser</v>
      </c>
      <c r="CR58" s="223" t="str">
        <f>$BP$1&amp;$D12</f>
        <v>Black OrcGoblin Bruiser</v>
      </c>
      <c r="CS58" s="223" t="str">
        <f>$BP$1&amp;$D13</f>
        <v>Black OrcJourney Goblin</v>
      </c>
      <c r="CT58" s="223" t="str">
        <f>$BP$1&amp;$D14</f>
        <v>Black OrcJourney Goblin</v>
      </c>
      <c r="CU58" s="223" t="str">
        <f>$BP$1&amp;$D15</f>
        <v>Black OrcJourney Goblin</v>
      </c>
      <c r="CV58" s="223" t="str">
        <f>$BP$1&amp;$D16</f>
        <v>Black Orc</v>
      </c>
      <c r="CW58" s="223" t="str">
        <f>$BP$1&amp;$D17</f>
        <v>Black Orc</v>
      </c>
      <c r="DA58" s="8"/>
    </row>
    <row r="59" spans="1:107" ht="15" hidden="1" customHeight="1" x14ac:dyDescent="0.2">
      <c r="A59" s="8"/>
      <c r="B59" s="352" t="s">
        <v>213</v>
      </c>
      <c r="C59" s="352"/>
      <c r="D59" s="353"/>
      <c r="E59" s="353"/>
      <c r="F59" s="353"/>
      <c r="G59" s="353"/>
      <c r="H59" s="8"/>
      <c r="I59" s="8"/>
      <c r="J59" s="8"/>
      <c r="K59" s="8"/>
      <c r="L59" s="352" t="s">
        <v>214</v>
      </c>
      <c r="M59" s="353"/>
      <c r="N59" s="353"/>
      <c r="O59" s="353"/>
      <c r="P59" s="353"/>
      <c r="Q59" s="8"/>
      <c r="R59" s="352" t="s">
        <v>215</v>
      </c>
      <c r="S59" s="353"/>
      <c r="T59" s="353"/>
      <c r="U59" s="353"/>
      <c r="V59" s="353"/>
      <c r="W59" s="8"/>
      <c r="X59" s="352" t="s">
        <v>216</v>
      </c>
      <c r="Y59" s="353"/>
      <c r="Z59" s="353"/>
      <c r="AA59" s="353"/>
      <c r="AB59" s="353"/>
      <c r="AC59" s="8"/>
      <c r="AD59" s="352" t="s">
        <v>217</v>
      </c>
      <c r="AE59" s="353"/>
      <c r="AF59" s="353"/>
      <c r="AG59" s="353"/>
      <c r="AH59" s="353"/>
      <c r="AI59" s="8"/>
      <c r="AJ59" s="8"/>
      <c r="AK59" s="8"/>
      <c r="AL59" s="352" t="s">
        <v>218</v>
      </c>
      <c r="AM59" s="353"/>
      <c r="AN59" s="353"/>
      <c r="AO59" s="353"/>
      <c r="AP59" s="35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0" t="s">
        <v>225</v>
      </c>
      <c r="BU59" s="350"/>
      <c r="BV59" s="350" t="s">
        <v>199</v>
      </c>
      <c r="BW59" s="350"/>
      <c r="BX59" s="350" t="s">
        <v>200</v>
      </c>
      <c r="BY59" s="350"/>
      <c r="BZ59" s="350" t="s">
        <v>226</v>
      </c>
      <c r="CA59" s="35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6" t="str">
        <f>IF(K31&lt;0,(IF(K25="Italiano","AVETE SPESO TROPPO!   ",IF(K25="Español","¡HAS GASTADO DEMASIADO!   ",(IF(K25="Deutsch","ZU VIEL AUSGEGEBEN!   ",(IF(K25="Français","TU DÉPENSES TROP!   ","YOU HAVE EXPENT TOO MUCH!   "))))))),"")</f>
        <v/>
      </c>
      <c r="C60" s="366"/>
      <c r="D60" s="353"/>
      <c r="E60" s="353"/>
      <c r="F60" s="353"/>
      <c r="G60" s="35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4</v>
      </c>
      <c r="AZ60" s="8">
        <f>COUNTIF(BT40:BY55,"S")</f>
        <v>0</v>
      </c>
      <c r="BA60" s="8">
        <f>AY60+AZ60</f>
        <v>4</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80000</v>
      </c>
      <c r="BO60" s="55"/>
      <c r="BP60" s="203" t="s">
        <v>1222</v>
      </c>
      <c r="BQ60" s="55">
        <f>IFERROR((IF(OR(COUNTIF($BV$2,"*BadlandsBrawl*")),50000,0)),0)</f>
        <v>50000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4</v>
      </c>
      <c r="M61" s="7">
        <f t="shared" ref="M61:M76" si="116">IF(S61=0,0,(IF(S61&gt;8,8,(IF(S61&lt;1,1,S61)))))</f>
        <v>5</v>
      </c>
      <c r="N61" s="7">
        <f t="shared" ref="N61:O61" si="117">IF(T61=0,0,(IF(T61&gt;6,6,(IF(T61&lt;1,1,T61)))))</f>
        <v>5</v>
      </c>
      <c r="O61" s="7">
        <f t="shared" si="117"/>
        <v>5</v>
      </c>
      <c r="P61" s="7">
        <f t="shared" ref="P61:P76" si="118">IF(V61=0,0,(IF(V61&gt;11,11,(IF(V61&lt;3,3,V61)))))</f>
        <v>10</v>
      </c>
      <c r="Q61" s="8"/>
      <c r="R61" s="7">
        <f>IFERROR((VLOOKUP($BP$1&amp;D2,Teams!D:M,2,0)+AL61+AD61),0)</f>
        <v>4</v>
      </c>
      <c r="S61" s="7">
        <f>IFERROR((VLOOKUP($BP$1&amp;D2,Teams!D:M,3,0)+AM61+AE61),0)</f>
        <v>5</v>
      </c>
      <c r="T61" s="7">
        <f>IFERROR((VLOOKUP($BP$1&amp;D2,Teams!D:M,4,0)+AN61-AF61),0)</f>
        <v>5</v>
      </c>
      <c r="U61" s="7">
        <f>IFERROR((VLOOKUP($BP$1&amp;D2,Teams!D:M,5,0)+AO61-AG61),0)</f>
        <v>5</v>
      </c>
      <c r="V61" s="7">
        <f>IFERROR((VLOOKUP($BP$1&amp;D2,Teams!D:M,6,0)+AP61+AH61),0)</f>
        <v>10</v>
      </c>
      <c r="W61" s="8"/>
      <c r="X61" s="8">
        <f>IFERROR((VLOOKUP($BP$1&amp;D2,Teams!D:M,2,0)),0)</f>
        <v>4</v>
      </c>
      <c r="Y61" s="8">
        <f>IFERROR((VLOOKUP($BP$1&amp;D2,Teams!D:M,3,0)),0)</f>
        <v>5</v>
      </c>
      <c r="Z61" s="8">
        <f>IFERROR((VLOOKUP($BP$1&amp;D2,Teams!D:M,4,0)),0)</f>
        <v>5</v>
      </c>
      <c r="AA61" s="8">
        <f>IFERROR((VLOOKUP($BP$1&amp;D2,Teams!D:M,5,0)),0)</f>
        <v>5</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4</v>
      </c>
      <c r="M62" s="8">
        <f t="shared" si="116"/>
        <v>4</v>
      </c>
      <c r="N62" s="8">
        <f t="shared" ref="N62:O62" si="143">IF(T62=0,0,(IF(T62&gt;6,6,(IF(T62&lt;1,1,T62)))))</f>
        <v>4</v>
      </c>
      <c r="O62" s="8">
        <f t="shared" si="143"/>
        <v>5</v>
      </c>
      <c r="P62" s="8">
        <f t="shared" si="118"/>
        <v>10</v>
      </c>
      <c r="Q62" s="8"/>
      <c r="R62" s="7">
        <f>IFERROR((VLOOKUP($BP$1&amp;D3,Teams!D:M,2,0)+AL62+AD62),0)</f>
        <v>4</v>
      </c>
      <c r="S62" s="7">
        <f>IFERROR((VLOOKUP($BP$1&amp;D3,Teams!D:M,3,0)+AM62+AE62),0)</f>
        <v>4</v>
      </c>
      <c r="T62" s="7">
        <f>IFERROR((VLOOKUP($BP$1&amp;D3,Teams!D:M,4,0)+AN62-AF62),0)</f>
        <v>4</v>
      </c>
      <c r="U62" s="7">
        <f>IFERROR((VLOOKUP($BP$1&amp;D3,Teams!D:M,5,0)+AO62-AG62),0)</f>
        <v>5</v>
      </c>
      <c r="V62" s="7">
        <f>IFERROR((VLOOKUP($BP$1&amp;D3,Teams!D:M,6,0)+AP62+AH62),0)</f>
        <v>10</v>
      </c>
      <c r="W62" s="8"/>
      <c r="X62" s="8">
        <f>IFERROR((VLOOKUP($BP$1&amp;D3,Teams!D:M,2,0)),0)</f>
        <v>4</v>
      </c>
      <c r="Y62" s="8">
        <f>IFERROR((VLOOKUP($BP$1&amp;D3,Teams!D:M,3,0)),0)</f>
        <v>4</v>
      </c>
      <c r="Z62" s="8">
        <f>IFERROR((VLOOKUP($BP$1&amp;D3,Teams!D:M,4,0)),0)</f>
        <v>4</v>
      </c>
      <c r="AA62" s="8">
        <f>IFERROR((VLOOKUP($BP$1&amp;D3,Teams!D:M,5,0)),0)</f>
        <v>5</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AV+</v>
      </c>
      <c r="CU62" s="51" t="str">
        <f t="shared" si="140"/>
        <v>AV+</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4</v>
      </c>
      <c r="M63" s="8">
        <f t="shared" si="116"/>
        <v>4</v>
      </c>
      <c r="N63" s="8">
        <f t="shared" ref="N63:O63" si="146">IF(T63=0,0,(IF(T63&gt;6,6,(IF(T63&lt;1,1,T63)))))</f>
        <v>5</v>
      </c>
      <c r="O63" s="8">
        <f t="shared" si="146"/>
        <v>5</v>
      </c>
      <c r="P63" s="8">
        <f t="shared" si="118"/>
        <v>10</v>
      </c>
      <c r="Q63" s="8"/>
      <c r="R63" s="7">
        <f>IFERROR((VLOOKUP($BP$1&amp;D4,Teams!D:M,2,0)+AL63+AD63),0)</f>
        <v>4</v>
      </c>
      <c r="S63" s="7">
        <f>IFERROR((VLOOKUP($BP$1&amp;D4,Teams!D:M,3,0)+AM63+AE63),0)</f>
        <v>4</v>
      </c>
      <c r="T63" s="7">
        <f>IFERROR((VLOOKUP($BP$1&amp;D4,Teams!D:M,4,0)+AN63-AF63),0)</f>
        <v>5</v>
      </c>
      <c r="U63" s="7">
        <f>IFERROR((VLOOKUP($BP$1&amp;D4,Teams!D:M,5,0)+AO63-AG63),0)</f>
        <v>5</v>
      </c>
      <c r="V63" s="7">
        <f>IFERROR((VLOOKUP($BP$1&amp;D4,Teams!D:M,6,0)+AP63+AH63),0)</f>
        <v>10</v>
      </c>
      <c r="W63" s="8"/>
      <c r="X63" s="8">
        <f>IFERROR((VLOOKUP($BP$1&amp;D4,Teams!D:M,2,0)),0)</f>
        <v>4</v>
      </c>
      <c r="Y63" s="8">
        <f>IFERROR((VLOOKUP($BP$1&amp;D4,Teams!D:M,3,0)),0)</f>
        <v>4</v>
      </c>
      <c r="Z63" s="8">
        <f>IFERROR((VLOOKUP($BP$1&amp;D4,Teams!D:M,4,0)),0)</f>
        <v>4</v>
      </c>
      <c r="AA63" s="8">
        <f>IFERROR((VLOOKUP($BP$1&amp;D4,Teams!D:M,5,0)),0)</f>
        <v>5</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1</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80000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AG-</v>
      </c>
      <c r="CU63" s="51" t="str">
        <f t="shared" si="140"/>
        <v>AG-</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4</v>
      </c>
      <c r="M64" s="8">
        <f t="shared" si="116"/>
        <v>4</v>
      </c>
      <c r="N64" s="8">
        <f t="shared" ref="N64:O64" si="148">IF(T64=0,0,(IF(T64&gt;6,6,(IF(T64&lt;1,1,T64)))))</f>
        <v>4</v>
      </c>
      <c r="O64" s="8">
        <f t="shared" si="148"/>
        <v>5</v>
      </c>
      <c r="P64" s="8">
        <f t="shared" si="118"/>
        <v>10</v>
      </c>
      <c r="Q64" s="8" t="s">
        <v>245</v>
      </c>
      <c r="R64" s="7">
        <f>IFERROR((VLOOKUP($BP$1&amp;D5,Teams!D:M,2,0)+AL64+AD64),0)</f>
        <v>4</v>
      </c>
      <c r="S64" s="7">
        <f>IFERROR((VLOOKUP($BP$1&amp;D5,Teams!D:M,3,0)+AM64+AE64),0)</f>
        <v>4</v>
      </c>
      <c r="T64" s="7">
        <f>IFERROR((VLOOKUP($BP$1&amp;D5,Teams!D:M,4,0)+AN64-AF64),0)</f>
        <v>4</v>
      </c>
      <c r="U64" s="7">
        <f>IFERROR((VLOOKUP($BP$1&amp;D5,Teams!D:M,5,0)+AO64-AG64),0)</f>
        <v>5</v>
      </c>
      <c r="V64" s="7">
        <f>IFERROR((VLOOKUP($BP$1&amp;D5,Teams!D:M,6,0)+AP64+AH64),0)</f>
        <v>10</v>
      </c>
      <c r="W64" s="8"/>
      <c r="X64" s="8">
        <f>IFERROR((VLOOKUP($BP$1&amp;D5,Teams!D:M,2,0)),0)</f>
        <v>4</v>
      </c>
      <c r="Y64" s="8">
        <f>IFERROR((VLOOKUP($BP$1&amp;D5,Teams!D:M,3,0)),0)</f>
        <v>4</v>
      </c>
      <c r="Z64" s="8">
        <f>IFERROR((VLOOKUP($BP$1&amp;D5,Teams!D:M,4,0)),0)</f>
        <v>4</v>
      </c>
      <c r="AA64" s="8">
        <f>IFERROR((VLOOKUP($BP$1&amp;D5,Teams!D:M,5,0)),0)</f>
        <v>5</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PA-</v>
      </c>
      <c r="CU64" s="51" t="str">
        <f t="shared" si="140"/>
        <v>PA-</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4</v>
      </c>
      <c r="M65" s="8">
        <f t="shared" si="116"/>
        <v>4</v>
      </c>
      <c r="N65" s="8">
        <f t="shared" ref="N65:O65" si="150">IF(T65=0,0,(IF(T65&gt;6,6,(IF(T65&lt;1,1,T65)))))</f>
        <v>4</v>
      </c>
      <c r="O65" s="8">
        <f t="shared" si="150"/>
        <v>5</v>
      </c>
      <c r="P65" s="8">
        <f t="shared" si="118"/>
        <v>10</v>
      </c>
      <c r="Q65" s="8"/>
      <c r="R65" s="7">
        <f>IFERROR((VLOOKUP($BP$1&amp;D6,Teams!D:M,2,0)+AL65+AD65),0)</f>
        <v>4</v>
      </c>
      <c r="S65" s="7">
        <f>IFERROR((VLOOKUP($BP$1&amp;D6,Teams!D:M,3,0)+AM65+AE65),0)</f>
        <v>4</v>
      </c>
      <c r="T65" s="7">
        <f>IFERROR((VLOOKUP($BP$1&amp;D6,Teams!D:M,4,0)+AN65-AF65),0)</f>
        <v>4</v>
      </c>
      <c r="U65" s="7">
        <f>IFERROR((VLOOKUP($BP$1&amp;D6,Teams!D:M,5,0)+AO65-AG65),0)</f>
        <v>5</v>
      </c>
      <c r="V65" s="7">
        <f>IFERROR((VLOOKUP($BP$1&amp;D6,Teams!D:M,6,0)+AP65+AH65),0)</f>
        <v>10</v>
      </c>
      <c r="W65" s="8"/>
      <c r="X65" s="8">
        <f>IFERROR((VLOOKUP($BP$1&amp;D6,Teams!D:M,2,0)),0)</f>
        <v>4</v>
      </c>
      <c r="Y65" s="8">
        <f>IFERROR((VLOOKUP($BP$1&amp;D6,Teams!D:M,3,0)),0)</f>
        <v>4</v>
      </c>
      <c r="Z65" s="8">
        <f>IFERROR((VLOOKUP($BP$1&amp;D6,Teams!D:M,4,0)),0)</f>
        <v>4</v>
      </c>
      <c r="AA65" s="8">
        <f>IFERROR((VLOOKUP($BP$1&amp;D6,Teams!D:M,5,0)),0)</f>
        <v>5</v>
      </c>
      <c r="AB65" s="8">
        <f>IFERROR((VLOOKUP($BP$1&amp;D6,Teams!D:M,6,0)),0)</f>
        <v>10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ST+</v>
      </c>
      <c r="CU65" s="51" t="str">
        <f t="shared" si="140"/>
        <v>ST+</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4</v>
      </c>
      <c r="M66" s="8">
        <f t="shared" si="116"/>
        <v>4</v>
      </c>
      <c r="N66" s="8">
        <f t="shared" ref="N66:O66" si="152">IF(T66=0,0,(IF(T66&gt;6,6,(IF(T66&lt;1,1,T66)))))</f>
        <v>4</v>
      </c>
      <c r="O66" s="8">
        <f t="shared" si="152"/>
        <v>5</v>
      </c>
      <c r="P66" s="8">
        <f t="shared" si="118"/>
        <v>10</v>
      </c>
      <c r="Q66" s="8"/>
      <c r="R66" s="7">
        <f>IFERROR((VLOOKUP($BP$1&amp;D7,Teams!D:M,2,0)+AL66+AD66),0)</f>
        <v>4</v>
      </c>
      <c r="S66" s="7">
        <f>IFERROR((VLOOKUP($BP$1&amp;D7,Teams!D:M,3,0)+AM66+AE66),0)</f>
        <v>4</v>
      </c>
      <c r="T66" s="7">
        <f>IFERROR((VLOOKUP($BP$1&amp;D7,Teams!D:M,4,0)+AN66-AF66),0)</f>
        <v>4</v>
      </c>
      <c r="U66" s="7">
        <f>IFERROR((VLOOKUP($BP$1&amp;D7,Teams!D:M,5,0)+AO66-AG66),0)</f>
        <v>5</v>
      </c>
      <c r="V66" s="7">
        <f>IFERROR((VLOOKUP($BP$1&amp;D7,Teams!D:M,6,0)+AP66+AH66),0)</f>
        <v>10</v>
      </c>
      <c r="W66" s="8"/>
      <c r="X66" s="8">
        <f>IFERROR((VLOOKUP($BP$1&amp;D7,Teams!D:M,2,0)),0)</f>
        <v>4</v>
      </c>
      <c r="Y66" s="8">
        <f>IFERROR((VLOOKUP($BP$1&amp;D7,Teams!D:M,3,0)),0)</f>
        <v>4</v>
      </c>
      <c r="Z66" s="8">
        <f>IFERROR((VLOOKUP($BP$1&amp;D7,Teams!D:M,4,0)),0)</f>
        <v>4</v>
      </c>
      <c r="AA66" s="8">
        <f>IFERROR((VLOOKUP($BP$1&amp;D7,Teams!D:M,5,0)),0)</f>
        <v>5</v>
      </c>
      <c r="AB66" s="8">
        <f>IFERROR((VLOOKUP($BP$1&amp;D7,Teams!D:M,6,0)),0)</f>
        <v>10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0" t="s">
        <v>1743</v>
      </c>
      <c r="CC66" s="310"/>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Block</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4</v>
      </c>
      <c r="M67" s="8">
        <f t="shared" si="116"/>
        <v>4</v>
      </c>
      <c r="N67" s="8">
        <f t="shared" ref="N67:O67" si="154">IF(T67=0,0,(IF(T67&gt;6,6,(IF(T67&lt;1,1,T67)))))</f>
        <v>4</v>
      </c>
      <c r="O67" s="8">
        <f t="shared" si="154"/>
        <v>5</v>
      </c>
      <c r="P67" s="8">
        <f t="shared" si="118"/>
        <v>10</v>
      </c>
      <c r="Q67" s="8"/>
      <c r="R67" s="7">
        <f>IFERROR((VLOOKUP($BP$1&amp;D8,Teams!D:M,2,0)+AL67+AD67),0)</f>
        <v>4</v>
      </c>
      <c r="S67" s="7">
        <f>IFERROR((VLOOKUP($BP$1&amp;D8,Teams!D:M,3,0)+AM67+AE67),0)</f>
        <v>4</v>
      </c>
      <c r="T67" s="7">
        <f>IFERROR((VLOOKUP($BP$1&amp;D8,Teams!D:M,4,0)+AN67-AF67),0)</f>
        <v>4</v>
      </c>
      <c r="U67" s="7">
        <f>IFERROR((VLOOKUP($BP$1&amp;D8,Teams!D:M,5,0)+AO67-AG67),0)</f>
        <v>5</v>
      </c>
      <c r="V67" s="7">
        <f>IFERROR((VLOOKUP($BP$1&amp;D8,Teams!D:M,6,0)+AP67+AH67),0)</f>
        <v>10</v>
      </c>
      <c r="W67" s="8"/>
      <c r="X67" s="8">
        <f>IFERROR((VLOOKUP($BP$1&amp;D8,Teams!D:M,2,0)),0)</f>
        <v>4</v>
      </c>
      <c r="Y67" s="8">
        <f>IFERROR((VLOOKUP($BP$1&amp;D8,Teams!D:M,3,0)),0)</f>
        <v>4</v>
      </c>
      <c r="Z67" s="8">
        <f>IFERROR((VLOOKUP($BP$1&amp;D8,Teams!D:M,4,0)),0)</f>
        <v>4</v>
      </c>
      <c r="AA67" s="8">
        <f>IFERROR((VLOOKUP($BP$1&amp;D8,Teams!D:M,5,0)),0)</f>
        <v>5</v>
      </c>
      <c r="AB67" s="8">
        <f>IFERROR((VLOOKUP($BP$1&amp;D8,Teams!D:M,6,0)),0)</f>
        <v>10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Dauntless</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6</v>
      </c>
      <c r="M68" s="8">
        <f t="shared" si="116"/>
        <v>2</v>
      </c>
      <c r="N68" s="8">
        <f t="shared" ref="N68:O68" si="157">IF(T68=0,0,(IF(T68&gt;6,6,(IF(T68&lt;1,1,T68)))))</f>
        <v>3</v>
      </c>
      <c r="O68" s="8">
        <f t="shared" si="157"/>
        <v>4</v>
      </c>
      <c r="P68" s="8">
        <f t="shared" si="118"/>
        <v>8</v>
      </c>
      <c r="Q68" s="8"/>
      <c r="R68" s="7">
        <f>IFERROR((VLOOKUP($BP$1&amp;D9,Teams!D:M,2,0)+AL68+AD68),0)</f>
        <v>6</v>
      </c>
      <c r="S68" s="7">
        <f>IFERROR((VLOOKUP($BP$1&amp;D9,Teams!D:M,3,0)+AM68+AE68),0)</f>
        <v>2</v>
      </c>
      <c r="T68" s="7">
        <f>IFERROR((VLOOKUP($BP$1&amp;D9,Teams!D:M,4,0)+AN68-AF68),0)</f>
        <v>3</v>
      </c>
      <c r="U68" s="7">
        <f>IFERROR((VLOOKUP($BP$1&amp;D9,Teams!D:M,5,0)+AO68-AG68),0)</f>
        <v>4</v>
      </c>
      <c r="V68" s="7">
        <f>IFERROR((VLOOKUP($BP$1&amp;D9,Teams!D:M,6,0)+AP68+AH68),0)</f>
        <v>8</v>
      </c>
      <c r="W68" s="8"/>
      <c r="X68" s="8">
        <f>IFERROR((VLOOKUP($BP$1&amp;D9,Teams!D:M,2,0)),0)</f>
        <v>6</v>
      </c>
      <c r="Y68" s="8">
        <f>IFERROR((VLOOKUP($BP$1&amp;D9,Teams!D:M,3,0)),0)</f>
        <v>2</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90000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Dirty Player (+1)</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2</v>
      </c>
      <c r="N69" s="8">
        <f t="shared" ref="N69:O69" si="159">IF(T69=0,0,(IF(T69&gt;6,6,(IF(T69&lt;1,1,T69)))))</f>
        <v>3</v>
      </c>
      <c r="O69" s="8">
        <f t="shared" si="159"/>
        <v>4</v>
      </c>
      <c r="P69" s="8">
        <f t="shared" si="118"/>
        <v>8</v>
      </c>
      <c r="Q69" s="8"/>
      <c r="R69" s="7">
        <f>IFERROR((VLOOKUP($BP$1&amp;D10,Teams!D:M,2,0)+AL69+AD69),0)</f>
        <v>6</v>
      </c>
      <c r="S69" s="7">
        <f>IFERROR((VLOOKUP($BP$1&amp;D10,Teams!D:M,3,0)+AM69+AE69),0)</f>
        <v>2</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2</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150000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Fend</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2</v>
      </c>
      <c r="N70" s="8">
        <f t="shared" ref="N70:O70" si="161">IF(T70=0,0,(IF(T70&gt;6,6,(IF(T70&lt;1,1,T70)))))</f>
        <v>3</v>
      </c>
      <c r="O70" s="8">
        <f t="shared" si="161"/>
        <v>4</v>
      </c>
      <c r="P70" s="8">
        <f t="shared" si="118"/>
        <v>8</v>
      </c>
      <c r="Q70" s="8"/>
      <c r="R70" s="7">
        <f>IFERROR((VLOOKUP($BP$1&amp;D11,Teams!D:M,2,0)+AL70+AD70),0)</f>
        <v>6</v>
      </c>
      <c r="S70" s="7">
        <f>IFERROR((VLOOKUP($BP$1&amp;D11,Teams!D:M,3,0)+AM70+AE70),0)</f>
        <v>2</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2</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150000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Frenzy</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2</v>
      </c>
      <c r="N71" s="8">
        <f t="shared" ref="N71:O71" si="163">IF(T71=0,0,(IF(T71&gt;6,6,(IF(T71&lt;1,1,T71)))))</f>
        <v>3</v>
      </c>
      <c r="O71" s="8">
        <f t="shared" si="163"/>
        <v>4</v>
      </c>
      <c r="P71" s="8">
        <f t="shared" si="118"/>
        <v>8</v>
      </c>
      <c r="Q71" s="8"/>
      <c r="R71" s="7">
        <f>IFERROR((VLOOKUP($BP$1&amp;D12,Teams!D:M,2,0)+AL71+AD71),0)</f>
        <v>6</v>
      </c>
      <c r="S71" s="7">
        <f>IFERROR((VLOOKUP($BP$1&amp;D12,Teams!D:M,3,0)+AM71+AE71),0)</f>
        <v>2</v>
      </c>
      <c r="T71" s="7">
        <f>IFERROR((VLOOKUP($BP$1&amp;D12,Teams!D:M,4,0)+AN71-AF71),0)</f>
        <v>3</v>
      </c>
      <c r="U71" s="7">
        <f>IFERROR((VLOOKUP($BP$1&amp;D12,Teams!D:M,5,0)+AO71-AG71),0)</f>
        <v>4</v>
      </c>
      <c r="V71" s="7">
        <f>IFERROR((VLOOKUP($BP$1&amp;D12,Teams!D:M,6,0)+AP71+AH71),0)</f>
        <v>8</v>
      </c>
      <c r="W71" s="8"/>
      <c r="X71" s="8">
        <f>IFERROR((VLOOKUP($BP$1&amp;D12,Teams!D:M,2,0)),0)</f>
        <v>6</v>
      </c>
      <c r="Y71" s="8">
        <f>IFERROR((VLOOKUP($BP$1&amp;D12,Teams!D:M,3,0)),0)</f>
        <v>2</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Kick</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2</v>
      </c>
      <c r="N72" s="8">
        <f t="shared" ref="N72:O72" si="165">IF(T72=0,0,(IF(T72&gt;6,6,(IF(T72&lt;1,1,T72)))))</f>
        <v>3</v>
      </c>
      <c r="O72" s="8">
        <f t="shared" si="165"/>
        <v>4</v>
      </c>
      <c r="P72" s="8">
        <f t="shared" si="118"/>
        <v>8</v>
      </c>
      <c r="Q72" s="8"/>
      <c r="R72" s="7">
        <f>IFERROR((VLOOKUP($BP$1&amp;D13,Teams!D:M,2,0)+AL72+AD72),0)</f>
        <v>6</v>
      </c>
      <c r="S72" s="7">
        <f>IFERROR((VLOOKUP($BP$1&amp;D13,Teams!D:M,3,0)+AM72+AE72),0)</f>
        <v>2</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2</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Pro</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2</v>
      </c>
      <c r="N73" s="8">
        <f t="shared" ref="N73:O73" si="167">IF(T73=0,0,(IF(T73&gt;6,6,(IF(T73&lt;1,1,T73)))))</f>
        <v>3</v>
      </c>
      <c r="O73" s="8">
        <f t="shared" si="167"/>
        <v>4</v>
      </c>
      <c r="P73" s="8">
        <f t="shared" si="118"/>
        <v>8</v>
      </c>
      <c r="Q73" s="8"/>
      <c r="R73" s="7">
        <f>IFERROR((VLOOKUP($BP$1&amp;D14,Teams!D:M,2,0)+AL73+AD73),0)</f>
        <v>6</v>
      </c>
      <c r="S73" s="7">
        <f>IFERROR((VLOOKUP($BP$1&amp;D14,Teams!D:M,3,0)+AM73+AE73),0)</f>
        <v>2</v>
      </c>
      <c r="T73" s="7">
        <f>IFERROR((VLOOKUP($BP$1&amp;D14,Teams!D:M,4,0)+AN73-AF73),0)</f>
        <v>3</v>
      </c>
      <c r="U73" s="7">
        <f>IFERROR((VLOOKUP($BP$1&amp;D14,Teams!D:M,5,0)+AO73-AG73),0)</f>
        <v>4</v>
      </c>
      <c r="V73" s="7">
        <f>IFERROR((VLOOKUP($BP$1&amp;D14,Teams!D:M,6,0)+AP73+AH73),0)</f>
        <v>8</v>
      </c>
      <c r="W73" s="8"/>
      <c r="X73" s="8">
        <f>IFERROR((VLOOKUP($BP$1&amp;D14,Teams!D:M,2,0)),0)</f>
        <v>6</v>
      </c>
      <c r="Y73" s="8">
        <f>IFERROR((VLOOKUP($BP$1&amp;D14,Teams!D:M,3,0)),0)</f>
        <v>2</v>
      </c>
      <c r="Z73" s="8">
        <f>IFERROR((VLOOKUP($BP$1&amp;D14,Teams!D:M,4,0)),0)</f>
        <v>3</v>
      </c>
      <c r="AA73" s="8">
        <f>IFERROR((VLOOKUP($BP$1&amp;D14,Teams!D:M,5,0)),0)</f>
        <v>4</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Shadowing</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6</v>
      </c>
      <c r="M74" s="8">
        <f t="shared" si="116"/>
        <v>2</v>
      </c>
      <c r="N74" s="8">
        <f t="shared" ref="N74:O74" si="169">IF(T74=0,0,(IF(T74&gt;6,6,(IF(T74&lt;1,1,T74)))))</f>
        <v>3</v>
      </c>
      <c r="O74" s="8">
        <f t="shared" si="169"/>
        <v>4</v>
      </c>
      <c r="P74" s="8">
        <f t="shared" si="118"/>
        <v>8</v>
      </c>
      <c r="Q74" s="8"/>
      <c r="R74" s="7">
        <f>IFERROR((VLOOKUP($BP$1&amp;D15,Teams!D:M,2,0)+AL74+AD74),0)</f>
        <v>6</v>
      </c>
      <c r="S74" s="7">
        <f>IFERROR((VLOOKUP($BP$1&amp;D15,Teams!D:M,3,0)+AM74+AE74),0)</f>
        <v>2</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2</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Strip Ball</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Sure Hands</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Tackle</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Wrestle</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40000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Catch</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Diving Catch</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Diving Tackle</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Dodge</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Defensive</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Jump Up</v>
      </c>
      <c r="CV83" s="51" t="str">
        <f t="shared" si="141"/>
        <v/>
      </c>
      <c r="CW83" s="51" t="str">
        <f t="shared" si="142"/>
        <v/>
      </c>
      <c r="DA83" s="8"/>
    </row>
    <row r="84" spans="1:105" ht="15" hidden="1" customHeight="1" x14ac:dyDescent="0.2">
      <c r="A84" s="8"/>
      <c r="B84" s="366"/>
      <c r="C84" s="366"/>
      <c r="D84" s="353"/>
      <c r="E84" s="353"/>
      <c r="F84" s="353"/>
      <c r="G84" s="35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Leap</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Safe Pair of Hands</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Sidestep</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Sneaky Git</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Sprint</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Sure Feet</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Accurate</v>
      </c>
      <c r="CI90" s="223" t="str">
        <f t="shared" si="145"/>
        <v>Accurate</v>
      </c>
      <c r="CJ90" s="51" t="str">
        <f t="shared" si="129"/>
        <v>Accurate</v>
      </c>
      <c r="CK90" s="51" t="str">
        <f t="shared" si="130"/>
        <v>Accurate</v>
      </c>
      <c r="CL90" s="51" t="str">
        <f t="shared" si="131"/>
        <v>Accurate</v>
      </c>
      <c r="CM90" s="51" t="str">
        <f t="shared" si="132"/>
        <v>Accurate</v>
      </c>
      <c r="CN90" s="51" t="str">
        <f t="shared" si="133"/>
        <v>Accurate</v>
      </c>
      <c r="CO90" s="51" t="str">
        <f t="shared" si="134"/>
        <v>Accurate</v>
      </c>
      <c r="CP90" s="51" t="str">
        <f t="shared" si="135"/>
        <v>Accurate</v>
      </c>
      <c r="CQ90" s="51" t="str">
        <f t="shared" si="136"/>
        <v>Accurate</v>
      </c>
      <c r="CR90" s="51" t="str">
        <f t="shared" si="137"/>
        <v>Accurate</v>
      </c>
      <c r="CS90" s="51" t="str">
        <f t="shared" si="138"/>
        <v>Accurate</v>
      </c>
      <c r="CT90" s="51" t="str">
        <f t="shared" si="139"/>
        <v>Accurate</v>
      </c>
      <c r="CU90" s="51" t="str">
        <f t="shared" si="140"/>
        <v>Accurate</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Cannoneer</v>
      </c>
      <c r="CI91" s="223" t="str">
        <f t="shared" si="145"/>
        <v>Cannoneer</v>
      </c>
      <c r="CJ91" s="51" t="str">
        <f t="shared" si="129"/>
        <v>Cannoneer</v>
      </c>
      <c r="CK91" s="51" t="str">
        <f t="shared" si="130"/>
        <v>Cannoneer</v>
      </c>
      <c r="CL91" s="51" t="str">
        <f t="shared" si="131"/>
        <v>Cannoneer</v>
      </c>
      <c r="CM91" s="51" t="str">
        <f t="shared" si="132"/>
        <v>Cannoneer</v>
      </c>
      <c r="CN91" s="51" t="str">
        <f t="shared" si="133"/>
        <v>Cannoneer</v>
      </c>
      <c r="CO91" s="51" t="str">
        <f t="shared" si="134"/>
        <v>Cannoneer</v>
      </c>
      <c r="CP91" s="51" t="str">
        <f t="shared" si="135"/>
        <v>Cannoneer</v>
      </c>
      <c r="CQ91" s="51" t="str">
        <f t="shared" si="136"/>
        <v>Cannoneer</v>
      </c>
      <c r="CR91" s="51" t="str">
        <f t="shared" si="137"/>
        <v>Cannoneer</v>
      </c>
      <c r="CS91" s="51" t="str">
        <f t="shared" si="138"/>
        <v>Cannoneer</v>
      </c>
      <c r="CT91" s="51" t="str">
        <f t="shared" si="139"/>
        <v>Cannoneer</v>
      </c>
      <c r="CU91" s="51" t="str">
        <f t="shared" si="140"/>
        <v>Cannoneer</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Cloud Burster</v>
      </c>
      <c r="CI92" s="223" t="str">
        <f t="shared" si="145"/>
        <v>Cloud Burster</v>
      </c>
      <c r="CJ92" s="51" t="str">
        <f t="shared" si="129"/>
        <v>Cloud Burster</v>
      </c>
      <c r="CK92" s="51" t="str">
        <f t="shared" si="130"/>
        <v>Cloud Burster</v>
      </c>
      <c r="CL92" s="51" t="str">
        <f t="shared" si="131"/>
        <v>Cloud Burster</v>
      </c>
      <c r="CM92" s="51" t="str">
        <f t="shared" si="132"/>
        <v>Cloud Burster</v>
      </c>
      <c r="CN92" s="51" t="str">
        <f t="shared" si="133"/>
        <v>Cloud Burster</v>
      </c>
      <c r="CO92" s="51" t="str">
        <f t="shared" si="134"/>
        <v>Cloud Burster</v>
      </c>
      <c r="CP92" s="51" t="str">
        <f t="shared" si="135"/>
        <v>Cloud Burster</v>
      </c>
      <c r="CQ92" s="51" t="str">
        <f t="shared" si="136"/>
        <v>Cloud Burster</v>
      </c>
      <c r="CR92" s="51" t="str">
        <f t="shared" si="137"/>
        <v>Cloud Burster</v>
      </c>
      <c r="CS92" s="51" t="str">
        <f t="shared" si="138"/>
        <v>Cloud Burster</v>
      </c>
      <c r="CT92" s="51" t="str">
        <f t="shared" si="139"/>
        <v>Cloud Burster</v>
      </c>
      <c r="CU92" s="51" t="str">
        <f t="shared" si="140"/>
        <v>Cloud Burster</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Dump-Off</v>
      </c>
      <c r="CI93" s="223" t="str">
        <f t="shared" si="145"/>
        <v>Dump-Off</v>
      </c>
      <c r="CJ93" s="51" t="str">
        <f t="shared" si="129"/>
        <v>Dump-Off</v>
      </c>
      <c r="CK93" s="51" t="str">
        <f t="shared" si="130"/>
        <v>Dump-Off</v>
      </c>
      <c r="CL93" s="51" t="str">
        <f t="shared" si="131"/>
        <v>Dump-Off</v>
      </c>
      <c r="CM93" s="51" t="str">
        <f t="shared" si="132"/>
        <v>Dump-Off</v>
      </c>
      <c r="CN93" s="51" t="str">
        <f t="shared" si="133"/>
        <v>Dump-Off</v>
      </c>
      <c r="CO93" s="51" t="str">
        <f t="shared" si="134"/>
        <v>Dump-Off</v>
      </c>
      <c r="CP93" s="51" t="str">
        <f t="shared" si="135"/>
        <v>Dump-Off</v>
      </c>
      <c r="CQ93" s="51" t="str">
        <f t="shared" si="136"/>
        <v>Dump-Off</v>
      </c>
      <c r="CR93" s="51" t="str">
        <f t="shared" si="137"/>
        <v>Dump-Off</v>
      </c>
      <c r="CS93" s="51" t="str">
        <f t="shared" si="138"/>
        <v>Dump-Off</v>
      </c>
      <c r="CT93" s="51" t="str">
        <f t="shared" si="139"/>
        <v>Dump-Off</v>
      </c>
      <c r="CU93" s="51" t="str">
        <f t="shared" si="140"/>
        <v>Dump-Off</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Fumblerooskie</v>
      </c>
      <c r="CI94" s="223" t="str">
        <f t="shared" si="145"/>
        <v>Fumblerooskie</v>
      </c>
      <c r="CJ94" s="51" t="str">
        <f t="shared" si="129"/>
        <v>Fumblerooskie</v>
      </c>
      <c r="CK94" s="51" t="str">
        <f t="shared" si="130"/>
        <v>Fumblerooskie</v>
      </c>
      <c r="CL94" s="51" t="str">
        <f t="shared" si="131"/>
        <v>Fumblerooskie</v>
      </c>
      <c r="CM94" s="51" t="str">
        <f t="shared" si="132"/>
        <v>Fumblerooskie</v>
      </c>
      <c r="CN94" s="51" t="str">
        <f t="shared" si="133"/>
        <v>Fumblerooskie</v>
      </c>
      <c r="CO94" s="51" t="str">
        <f t="shared" si="134"/>
        <v>Fumblerooskie</v>
      </c>
      <c r="CP94" s="51" t="str">
        <f t="shared" si="135"/>
        <v>Fumblerooskie</v>
      </c>
      <c r="CQ94" s="51" t="str">
        <f t="shared" si="136"/>
        <v>Fumblerooskie</v>
      </c>
      <c r="CR94" s="51" t="str">
        <f t="shared" si="137"/>
        <v>Fumblerooskie</v>
      </c>
      <c r="CS94" s="51" t="str">
        <f t="shared" si="138"/>
        <v>Fumblerooskie</v>
      </c>
      <c r="CT94" s="51" t="str">
        <f t="shared" si="139"/>
        <v>Fumblerooskie</v>
      </c>
      <c r="CU94" s="51" t="str">
        <f t="shared" si="140"/>
        <v>Fumblerooskie</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Hail Mary Pass</v>
      </c>
      <c r="CI95" s="223"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Hail Mary Pass</v>
      </c>
      <c r="CO95" s="51" t="str">
        <f t="shared" si="134"/>
        <v>Hail Mary Pass</v>
      </c>
      <c r="CP95" s="51" t="str">
        <f t="shared" si="135"/>
        <v>Hail Mary Pass</v>
      </c>
      <c r="CQ95" s="51" t="str">
        <f t="shared" si="136"/>
        <v>Hail Mary Pass</v>
      </c>
      <c r="CR95" s="51" t="str">
        <f t="shared" si="137"/>
        <v>Hail Mary Pass</v>
      </c>
      <c r="CS95" s="51" t="str">
        <f t="shared" si="138"/>
        <v>Hail Mary Pass</v>
      </c>
      <c r="CT95" s="51" t="str">
        <f t="shared" si="139"/>
        <v>Hail Mary Pass</v>
      </c>
      <c r="CU95" s="51" t="str">
        <f t="shared" si="140"/>
        <v>Hail Mary Pass</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Leader</v>
      </c>
      <c r="CI96" s="223" t="str">
        <f t="shared" si="145"/>
        <v>Leader</v>
      </c>
      <c r="CJ96" s="51" t="str">
        <f t="shared" si="129"/>
        <v>Leader</v>
      </c>
      <c r="CK96" s="51" t="str">
        <f t="shared" si="130"/>
        <v>Leader</v>
      </c>
      <c r="CL96" s="51" t="str">
        <f t="shared" si="131"/>
        <v>Leader</v>
      </c>
      <c r="CM96" s="51" t="str">
        <f t="shared" si="132"/>
        <v>Leader</v>
      </c>
      <c r="CN96" s="51" t="str">
        <f t="shared" si="133"/>
        <v>Leader</v>
      </c>
      <c r="CO96" s="51" t="str">
        <f t="shared" si="134"/>
        <v>Leader</v>
      </c>
      <c r="CP96" s="51" t="str">
        <f t="shared" si="135"/>
        <v>Leader</v>
      </c>
      <c r="CQ96" s="51" t="str">
        <f t="shared" si="136"/>
        <v>Leader</v>
      </c>
      <c r="CR96" s="51" t="str">
        <f t="shared" si="137"/>
        <v>Leader</v>
      </c>
      <c r="CS96" s="51" t="str">
        <f t="shared" si="138"/>
        <v>Leader</v>
      </c>
      <c r="CT96" s="51" t="str">
        <f t="shared" si="139"/>
        <v>Leader</v>
      </c>
      <c r="CU96" s="51" t="str">
        <f t="shared" si="140"/>
        <v>Leader</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Nerves of Steel</v>
      </c>
      <c r="CI97" s="223"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Nerves of Steel</v>
      </c>
      <c r="CO97" s="51" t="str">
        <f t="shared" si="134"/>
        <v>Nerves of Steel</v>
      </c>
      <c r="CP97" s="51" t="str">
        <f t="shared" si="135"/>
        <v>Nerves of Steel</v>
      </c>
      <c r="CQ97" s="51" t="str">
        <f t="shared" si="136"/>
        <v>Nerves of Steel</v>
      </c>
      <c r="CR97" s="51" t="str">
        <f t="shared" si="137"/>
        <v>Nerves of Steel</v>
      </c>
      <c r="CS97" s="51" t="str">
        <f t="shared" si="138"/>
        <v>Nerves of Steel</v>
      </c>
      <c r="CT97" s="51" t="str">
        <f t="shared" si="139"/>
        <v>Nerves of Steel</v>
      </c>
      <c r="CU97" s="51" t="str">
        <f t="shared" si="140"/>
        <v>Nerves of Steel</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On the Ball</v>
      </c>
      <c r="CI98" s="223" t="str">
        <f t="shared" si="145"/>
        <v>On the Ball</v>
      </c>
      <c r="CJ98" s="51" t="str">
        <f t="shared" si="129"/>
        <v>On the Ball</v>
      </c>
      <c r="CK98" s="51" t="str">
        <f t="shared" si="130"/>
        <v>On the Ball</v>
      </c>
      <c r="CL98" s="51" t="str">
        <f t="shared" si="131"/>
        <v>On the Ball</v>
      </c>
      <c r="CM98" s="51" t="str">
        <f t="shared" si="132"/>
        <v>On the Ball</v>
      </c>
      <c r="CN98" s="51" t="str">
        <f t="shared" si="133"/>
        <v>On the Ball</v>
      </c>
      <c r="CO98" s="51" t="str">
        <f t="shared" si="134"/>
        <v>On the Ball</v>
      </c>
      <c r="CP98" s="51" t="str">
        <f t="shared" si="135"/>
        <v>On the Ball</v>
      </c>
      <c r="CQ98" s="51" t="str">
        <f t="shared" si="136"/>
        <v>On the Ball</v>
      </c>
      <c r="CR98" s="51" t="str">
        <f t="shared" si="137"/>
        <v>On the Ball</v>
      </c>
      <c r="CS98" s="51" t="str">
        <f t="shared" si="138"/>
        <v>On the Ball</v>
      </c>
      <c r="CT98" s="51" t="str">
        <f t="shared" si="139"/>
        <v>On the Ball</v>
      </c>
      <c r="CU98" s="51" t="str">
        <f t="shared" si="140"/>
        <v>On the Ball</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Pass</v>
      </c>
      <c r="CI99" s="223" t="str">
        <f t="shared" si="145"/>
        <v>Pass</v>
      </c>
      <c r="CJ99" s="51" t="str">
        <f t="shared" si="129"/>
        <v>Pass</v>
      </c>
      <c r="CK99" s="51" t="str">
        <f t="shared" si="130"/>
        <v>Pass</v>
      </c>
      <c r="CL99" s="51" t="str">
        <f t="shared" si="131"/>
        <v>Pass</v>
      </c>
      <c r="CM99" s="51" t="str">
        <f t="shared" si="132"/>
        <v>Pass</v>
      </c>
      <c r="CN99" s="51" t="str">
        <f t="shared" si="133"/>
        <v>Pass</v>
      </c>
      <c r="CO99" s="51" t="str">
        <f t="shared" si="134"/>
        <v>Pass</v>
      </c>
      <c r="CP99" s="51" t="str">
        <f t="shared" si="135"/>
        <v>Pass</v>
      </c>
      <c r="CQ99" s="51" t="str">
        <f t="shared" si="136"/>
        <v>Pass</v>
      </c>
      <c r="CR99" s="51" t="str">
        <f t="shared" si="137"/>
        <v>Pass</v>
      </c>
      <c r="CS99" s="51" t="str">
        <f t="shared" si="138"/>
        <v>Pass</v>
      </c>
      <c r="CT99" s="51" t="str">
        <f t="shared" si="139"/>
        <v>Pass</v>
      </c>
      <c r="CU99" s="51" t="str">
        <f t="shared" si="140"/>
        <v>Pass</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Running Pass</v>
      </c>
      <c r="CI100" s="223" t="str">
        <f t="shared" si="145"/>
        <v>Running Pass</v>
      </c>
      <c r="CJ100" s="51" t="str">
        <f t="shared" si="129"/>
        <v>Running Pass</v>
      </c>
      <c r="CK100" s="51" t="str">
        <f t="shared" si="130"/>
        <v>Running Pass</v>
      </c>
      <c r="CL100" s="51" t="str">
        <f t="shared" si="131"/>
        <v>Running Pass</v>
      </c>
      <c r="CM100" s="51" t="str">
        <f t="shared" si="132"/>
        <v>Running Pass</v>
      </c>
      <c r="CN100" s="51" t="str">
        <f t="shared" si="133"/>
        <v>Running Pass</v>
      </c>
      <c r="CO100" s="51" t="str">
        <f t="shared" si="134"/>
        <v>Running Pass</v>
      </c>
      <c r="CP100" s="51" t="str">
        <f t="shared" si="135"/>
        <v>Running Pass</v>
      </c>
      <c r="CQ100" s="51" t="str">
        <f t="shared" si="136"/>
        <v>Running Pass</v>
      </c>
      <c r="CR100" s="51" t="str">
        <f t="shared" si="137"/>
        <v>Running Pass</v>
      </c>
      <c r="CS100" s="51" t="str">
        <f t="shared" si="138"/>
        <v>Running Pass</v>
      </c>
      <c r="CT100" s="51" t="str">
        <f t="shared" si="139"/>
        <v>Running Pass</v>
      </c>
      <c r="CU100" s="51" t="str">
        <f t="shared" si="140"/>
        <v>Running Pass</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Safe Pass</v>
      </c>
      <c r="CI101" s="223" t="str">
        <f t="shared" si="145"/>
        <v>Safe Pass</v>
      </c>
      <c r="CJ101" s="51" t="str">
        <f t="shared" si="129"/>
        <v>Safe Pass</v>
      </c>
      <c r="CK101" s="51" t="str">
        <f t="shared" si="130"/>
        <v>Safe Pass</v>
      </c>
      <c r="CL101" s="51" t="str">
        <f t="shared" si="131"/>
        <v>Safe Pass</v>
      </c>
      <c r="CM101" s="51" t="str">
        <f t="shared" si="132"/>
        <v>Safe Pass</v>
      </c>
      <c r="CN101" s="51" t="str">
        <f t="shared" si="133"/>
        <v>Safe Pass</v>
      </c>
      <c r="CO101" s="51" t="str">
        <f t="shared" si="134"/>
        <v>Safe Pass</v>
      </c>
      <c r="CP101" s="51" t="str">
        <f t="shared" si="135"/>
        <v>Safe Pass</v>
      </c>
      <c r="CQ101" s="51" t="str">
        <f t="shared" si="136"/>
        <v>Safe Pass</v>
      </c>
      <c r="CR101" s="51" t="str">
        <f t="shared" si="137"/>
        <v>Safe Pass</v>
      </c>
      <c r="CS101" s="51" t="str">
        <f t="shared" si="138"/>
        <v>Safe Pass</v>
      </c>
      <c r="CT101" s="51" t="str">
        <f t="shared" si="139"/>
        <v>Safe Pass</v>
      </c>
      <c r="CU101" s="51" t="str">
        <f t="shared" si="140"/>
        <v>Safe Pass</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Arm Bar</v>
      </c>
      <c r="CI102" s="223" t="str">
        <f t="shared" si="145"/>
        <v>Arm Bar</v>
      </c>
      <c r="CJ102" s="51" t="str">
        <f t="shared" si="129"/>
        <v>Arm Bar</v>
      </c>
      <c r="CK102" s="51" t="str">
        <f t="shared" si="130"/>
        <v>Arm Bar</v>
      </c>
      <c r="CL102" s="51" t="str">
        <f t="shared" si="131"/>
        <v>Arm Bar</v>
      </c>
      <c r="CM102" s="51" t="str">
        <f t="shared" si="132"/>
        <v>Arm Bar</v>
      </c>
      <c r="CN102" s="51" t="str">
        <f t="shared" si="133"/>
        <v>Arm Bar</v>
      </c>
      <c r="CO102" s="51" t="str">
        <f t="shared" si="134"/>
        <v>Arm Bar</v>
      </c>
      <c r="CP102" s="51" t="str">
        <f t="shared" si="135"/>
        <v>Arm Bar</v>
      </c>
      <c r="CQ102" s="51" t="str">
        <f t="shared" si="136"/>
        <v>Arm Bar</v>
      </c>
      <c r="CR102" s="51" t="str">
        <f t="shared" si="137"/>
        <v>Arm Bar</v>
      </c>
      <c r="CS102" s="51" t="str">
        <f t="shared" si="138"/>
        <v>Arm Bar</v>
      </c>
      <c r="CT102" s="51" t="str">
        <f t="shared" si="139"/>
        <v>Arm Bar</v>
      </c>
      <c r="CU102" s="51" t="str">
        <f t="shared" si="140"/>
        <v>Arm Bar</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Brawler</v>
      </c>
      <c r="CI103" s="223" t="str">
        <f t="shared" si="145"/>
        <v>Brawler</v>
      </c>
      <c r="CJ103" s="51" t="str">
        <f t="shared" si="129"/>
        <v>Brawler</v>
      </c>
      <c r="CK103" s="51" t="str">
        <f t="shared" si="130"/>
        <v>Brawler</v>
      </c>
      <c r="CL103" s="51" t="str">
        <f t="shared" si="131"/>
        <v>Brawler</v>
      </c>
      <c r="CM103" s="51" t="str">
        <f t="shared" si="132"/>
        <v>Brawler</v>
      </c>
      <c r="CN103" s="51" t="str">
        <f t="shared" si="133"/>
        <v>Brawler</v>
      </c>
      <c r="CO103" s="51" t="str">
        <f t="shared" si="134"/>
        <v>Brawler</v>
      </c>
      <c r="CP103" s="51" t="str">
        <f t="shared" si="135"/>
        <v>Brawler</v>
      </c>
      <c r="CQ103" s="51" t="str">
        <f t="shared" si="136"/>
        <v>Brawler</v>
      </c>
      <c r="CR103" s="51" t="str">
        <f t="shared" si="137"/>
        <v>Brawler</v>
      </c>
      <c r="CS103" s="51" t="str">
        <f t="shared" si="138"/>
        <v>Brawler</v>
      </c>
      <c r="CT103" s="51" t="str">
        <f t="shared" si="139"/>
        <v>Brawler</v>
      </c>
      <c r="CU103" s="51" t="str">
        <f t="shared" si="140"/>
        <v>Brawler</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Break Tackle</v>
      </c>
      <c r="CI104" s="223" t="str">
        <f t="shared" si="145"/>
        <v>Break Tackle</v>
      </c>
      <c r="CJ104" s="51" t="str">
        <f t="shared" si="129"/>
        <v>Break Tackle</v>
      </c>
      <c r="CK104" s="51" t="str">
        <f t="shared" si="130"/>
        <v>Break Tackle</v>
      </c>
      <c r="CL104" s="51" t="str">
        <f t="shared" si="131"/>
        <v>Break Tackle</v>
      </c>
      <c r="CM104" s="51" t="str">
        <f t="shared" si="132"/>
        <v>Break Tackle</v>
      </c>
      <c r="CN104" s="51" t="str">
        <f t="shared" si="133"/>
        <v>Break Tackle</v>
      </c>
      <c r="CO104" s="51" t="str">
        <f t="shared" si="134"/>
        <v>Break Tackle</v>
      </c>
      <c r="CP104" s="51" t="str">
        <f t="shared" si="135"/>
        <v>Break Tackle</v>
      </c>
      <c r="CQ104" s="51" t="str">
        <f t="shared" si="136"/>
        <v>Break Tackle</v>
      </c>
      <c r="CR104" s="51" t="str">
        <f t="shared" si="137"/>
        <v>Break Tackle</v>
      </c>
      <c r="CS104" s="51" t="str">
        <f t="shared" si="138"/>
        <v>Break Tackle</v>
      </c>
      <c r="CT104" s="51" t="str">
        <f t="shared" si="139"/>
        <v>Break Tackle</v>
      </c>
      <c r="CU104" s="51" t="str">
        <f t="shared" si="140"/>
        <v>Break Tackle</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Grab</v>
      </c>
      <c r="CI105" s="223" t="str">
        <f t="shared" si="145"/>
        <v>Grab</v>
      </c>
      <c r="CJ105" s="51" t="str">
        <f t="shared" si="129"/>
        <v>Grab</v>
      </c>
      <c r="CK105" s="51" t="str">
        <f t="shared" si="130"/>
        <v>Grab</v>
      </c>
      <c r="CL105" s="51" t="str">
        <f t="shared" si="131"/>
        <v>Grab</v>
      </c>
      <c r="CM105" s="51" t="str">
        <f t="shared" si="132"/>
        <v>Grab</v>
      </c>
      <c r="CN105" s="51" t="str">
        <f t="shared" si="133"/>
        <v>Grab</v>
      </c>
      <c r="CO105" s="51" t="str">
        <f t="shared" si="134"/>
        <v>Grab</v>
      </c>
      <c r="CP105" s="51" t="str">
        <f t="shared" si="135"/>
        <v>Grab</v>
      </c>
      <c r="CQ105" s="51" t="str">
        <f t="shared" si="136"/>
        <v>Grab</v>
      </c>
      <c r="CR105" s="51" t="str">
        <f t="shared" si="137"/>
        <v>Grab</v>
      </c>
      <c r="CS105" s="51" t="str">
        <f t="shared" si="138"/>
        <v>Grab</v>
      </c>
      <c r="CT105" s="51" t="str">
        <f t="shared" si="139"/>
        <v>Grab</v>
      </c>
      <c r="CU105" s="51" t="str">
        <f t="shared" si="140"/>
        <v>Grab</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Guard</v>
      </c>
      <c r="CI106" s="223" t="str">
        <f t="shared" si="145"/>
        <v>Guard</v>
      </c>
      <c r="CJ106" s="51" t="str">
        <f t="shared" si="129"/>
        <v>Guard</v>
      </c>
      <c r="CK106" s="51" t="str">
        <f t="shared" si="130"/>
        <v>Guard</v>
      </c>
      <c r="CL106" s="51" t="str">
        <f t="shared" si="131"/>
        <v>Guard</v>
      </c>
      <c r="CM106" s="51" t="str">
        <f t="shared" si="132"/>
        <v>Guard</v>
      </c>
      <c r="CN106" s="51" t="str">
        <f t="shared" si="133"/>
        <v>Guard</v>
      </c>
      <c r="CO106" s="51" t="str">
        <f t="shared" si="134"/>
        <v>Guard</v>
      </c>
      <c r="CP106" s="51" t="str">
        <f t="shared" si="135"/>
        <v>Guard</v>
      </c>
      <c r="CQ106" s="51" t="str">
        <f t="shared" si="136"/>
        <v>Guard</v>
      </c>
      <c r="CR106" s="51" t="str">
        <f t="shared" si="137"/>
        <v>Guard</v>
      </c>
      <c r="CS106" s="51" t="str">
        <f t="shared" si="138"/>
        <v>Guard</v>
      </c>
      <c r="CT106" s="51" t="str">
        <f t="shared" si="139"/>
        <v>Guard</v>
      </c>
      <c r="CU106" s="51" t="str">
        <f t="shared" si="140"/>
        <v>Guard</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Juggernaut</v>
      </c>
      <c r="CI107" s="223" t="str">
        <f t="shared" si="145"/>
        <v>Juggernaut</v>
      </c>
      <c r="CJ107" s="51" t="str">
        <f t="shared" si="129"/>
        <v>Juggernaut</v>
      </c>
      <c r="CK107" s="51" t="str">
        <f t="shared" si="130"/>
        <v>Juggernaut</v>
      </c>
      <c r="CL107" s="51" t="str">
        <f t="shared" si="131"/>
        <v>Juggernaut</v>
      </c>
      <c r="CM107" s="51" t="str">
        <f t="shared" si="132"/>
        <v>Juggernaut</v>
      </c>
      <c r="CN107" s="51" t="str">
        <f t="shared" si="133"/>
        <v>Juggernaut</v>
      </c>
      <c r="CO107" s="51" t="str">
        <f t="shared" si="134"/>
        <v>Juggernaut</v>
      </c>
      <c r="CP107" s="51" t="str">
        <f t="shared" si="135"/>
        <v>Juggernaut</v>
      </c>
      <c r="CQ107" s="51" t="str">
        <f t="shared" si="136"/>
        <v>Juggernaut</v>
      </c>
      <c r="CR107" s="51" t="str">
        <f t="shared" si="137"/>
        <v>Juggernaut</v>
      </c>
      <c r="CS107" s="51" t="str">
        <f t="shared" si="138"/>
        <v>Juggernaut</v>
      </c>
      <c r="CT107" s="51" t="str">
        <f t="shared" si="139"/>
        <v>Juggernaut</v>
      </c>
      <c r="CU107" s="51" t="str">
        <f t="shared" si="140"/>
        <v>Juggernaut</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Mighty Blow (+1)</v>
      </c>
      <c r="CI108" s="223"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Mighty Blow (+1)</v>
      </c>
      <c r="CO108" s="51" t="str">
        <f t="shared" si="134"/>
        <v>Mighty Blow (+1)</v>
      </c>
      <c r="CP108" s="51" t="str">
        <f t="shared" si="135"/>
        <v>Mighty Blow (+1)</v>
      </c>
      <c r="CQ108" s="51" t="str">
        <f t="shared" si="136"/>
        <v>Mighty Blow (+1)</v>
      </c>
      <c r="CR108" s="51" t="str">
        <f t="shared" si="137"/>
        <v>Mighty Blow (+1)</v>
      </c>
      <c r="CS108" s="51" t="str">
        <f t="shared" si="138"/>
        <v>Mighty Blow (+1)</v>
      </c>
      <c r="CT108" s="51" t="str">
        <f t="shared" si="139"/>
        <v>Mighty Blow (+1)</v>
      </c>
      <c r="CU108" s="51" t="str">
        <f t="shared" si="140"/>
        <v>Mighty Blow (+1)</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Multiple Blocks</v>
      </c>
      <c r="CI109" s="223"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Multiple Blocks</v>
      </c>
      <c r="CO109" s="51" t="str">
        <f t="shared" si="134"/>
        <v>Multiple Blocks</v>
      </c>
      <c r="CP109" s="51" t="str">
        <f t="shared" si="135"/>
        <v>Multiple Blocks</v>
      </c>
      <c r="CQ109" s="51" t="str">
        <f t="shared" si="136"/>
        <v>Multiple Blocks</v>
      </c>
      <c r="CR109" s="51" t="str">
        <f t="shared" si="137"/>
        <v>Multiple Blocks</v>
      </c>
      <c r="CS109" s="51" t="str">
        <f t="shared" si="138"/>
        <v>Multiple Blocks</v>
      </c>
      <c r="CT109" s="51" t="str">
        <f t="shared" si="139"/>
        <v>Multiple Blocks</v>
      </c>
      <c r="CU109" s="51" t="str">
        <f t="shared" si="140"/>
        <v>Multiple Blocks</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Pile Diver</v>
      </c>
      <c r="CI110" s="223" t="str">
        <f t="shared" si="145"/>
        <v>Pile Diver</v>
      </c>
      <c r="CJ110" s="51" t="str">
        <f t="shared" si="129"/>
        <v>Pile Diver</v>
      </c>
      <c r="CK110" s="51" t="str">
        <f t="shared" si="130"/>
        <v>Pile Diver</v>
      </c>
      <c r="CL110" s="51" t="str">
        <f t="shared" si="131"/>
        <v>Pile Diver</v>
      </c>
      <c r="CM110" s="51" t="str">
        <f t="shared" si="132"/>
        <v>Pile Diver</v>
      </c>
      <c r="CN110" s="51" t="str">
        <f t="shared" si="133"/>
        <v>Pile Diver</v>
      </c>
      <c r="CO110" s="51" t="str">
        <f t="shared" si="134"/>
        <v>Pile Diver</v>
      </c>
      <c r="CP110" s="51" t="str">
        <f t="shared" si="135"/>
        <v>Pile Diver</v>
      </c>
      <c r="CQ110" s="51" t="str">
        <f t="shared" si="136"/>
        <v>Pile Diver</v>
      </c>
      <c r="CR110" s="51" t="str">
        <f t="shared" si="137"/>
        <v>Pile Diver</v>
      </c>
      <c r="CS110" s="51" t="str">
        <f t="shared" si="138"/>
        <v>Pile Diver</v>
      </c>
      <c r="CT110" s="51" t="str">
        <f t="shared" si="139"/>
        <v>Pile Diver</v>
      </c>
      <c r="CU110" s="51" t="str">
        <f t="shared" si="140"/>
        <v>Pile Diver</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Stand Firm</v>
      </c>
      <c r="CI111" s="223" t="str">
        <f t="shared" si="145"/>
        <v>Stand Firm</v>
      </c>
      <c r="CJ111" s="51" t="str">
        <f t="shared" si="129"/>
        <v>Stand Firm</v>
      </c>
      <c r="CK111" s="51" t="str">
        <f t="shared" si="130"/>
        <v>Stand Firm</v>
      </c>
      <c r="CL111" s="51" t="str">
        <f t="shared" si="131"/>
        <v>Stand Firm</v>
      </c>
      <c r="CM111" s="51" t="str">
        <f t="shared" si="132"/>
        <v>Stand Firm</v>
      </c>
      <c r="CN111" s="51" t="str">
        <f t="shared" si="133"/>
        <v>Stand Firm</v>
      </c>
      <c r="CO111" s="51" t="str">
        <f t="shared" si="134"/>
        <v>Stand Firm</v>
      </c>
      <c r="CP111" s="51" t="str">
        <f t="shared" si="135"/>
        <v>Stand Firm</v>
      </c>
      <c r="CQ111" s="51" t="str">
        <f t="shared" si="136"/>
        <v>Stand Firm</v>
      </c>
      <c r="CR111" s="51" t="str">
        <f t="shared" si="137"/>
        <v>Stand Firm</v>
      </c>
      <c r="CS111" s="51" t="str">
        <f t="shared" si="138"/>
        <v>Stand Firm</v>
      </c>
      <c r="CT111" s="51" t="str">
        <f t="shared" si="139"/>
        <v>Stand Firm</v>
      </c>
      <c r="CU111" s="51" t="str">
        <f t="shared" si="140"/>
        <v>Stand Firm</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Strong Arm</v>
      </c>
      <c r="CI112" s="223" t="str">
        <f t="shared" si="145"/>
        <v>Strong Arm</v>
      </c>
      <c r="CJ112" s="51" t="str">
        <f t="shared" si="129"/>
        <v>Strong Arm</v>
      </c>
      <c r="CK112" s="51" t="str">
        <f t="shared" si="130"/>
        <v>Strong Arm</v>
      </c>
      <c r="CL112" s="51" t="str">
        <f t="shared" si="131"/>
        <v>Strong Arm</v>
      </c>
      <c r="CM112" s="51" t="str">
        <f t="shared" si="132"/>
        <v>Strong Arm</v>
      </c>
      <c r="CN112" s="51" t="str">
        <f t="shared" si="133"/>
        <v>Strong Arm</v>
      </c>
      <c r="CO112" s="51" t="str">
        <f t="shared" si="134"/>
        <v>Strong Arm</v>
      </c>
      <c r="CP112" s="51" t="str">
        <f t="shared" si="135"/>
        <v>Strong Arm</v>
      </c>
      <c r="CQ112" s="51" t="str">
        <f t="shared" si="136"/>
        <v>Strong Arm</v>
      </c>
      <c r="CR112" s="51" t="str">
        <f t="shared" si="137"/>
        <v>Strong Arm</v>
      </c>
      <c r="CS112" s="51" t="str">
        <f t="shared" si="138"/>
        <v>Strong Arm</v>
      </c>
      <c r="CT112" s="51" t="str">
        <f t="shared" si="139"/>
        <v>Strong Arm</v>
      </c>
      <c r="CU112" s="51" t="str">
        <f t="shared" si="140"/>
        <v>Strong Arm</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Thick Skull</v>
      </c>
      <c r="CI113" s="223" t="str">
        <f t="shared" si="145"/>
        <v>Thick Skull</v>
      </c>
      <c r="CJ113" s="51" t="str">
        <f t="shared" si="129"/>
        <v>Thick Skull</v>
      </c>
      <c r="CK113" s="51" t="str">
        <f t="shared" si="130"/>
        <v>Thick Skull</v>
      </c>
      <c r="CL113" s="51" t="str">
        <f t="shared" si="131"/>
        <v>Thick Skull</v>
      </c>
      <c r="CM113" s="51" t="str">
        <f t="shared" si="132"/>
        <v>Thick Skull</v>
      </c>
      <c r="CN113" s="51" t="str">
        <f t="shared" si="133"/>
        <v>Thick Skull</v>
      </c>
      <c r="CO113" s="51" t="str">
        <f t="shared" si="134"/>
        <v>Thick Skull</v>
      </c>
      <c r="CP113" s="51" t="str">
        <f t="shared" si="135"/>
        <v>Thick Skull</v>
      </c>
      <c r="CQ113" s="51" t="str">
        <f t="shared" si="136"/>
        <v>Thick Skull</v>
      </c>
      <c r="CR113" s="51" t="str">
        <f t="shared" si="137"/>
        <v>Thick Skull</v>
      </c>
      <c r="CS113" s="51" t="str">
        <f t="shared" si="138"/>
        <v>Thick Skull</v>
      </c>
      <c r="CT113" s="51" t="str">
        <f t="shared" si="139"/>
        <v>Thick Skull</v>
      </c>
      <c r="CU113" s="51" t="str">
        <f t="shared" si="140"/>
        <v>Thick Skull</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9" priority="9" operator="equal">
      <formula>0</formula>
    </cfRule>
  </conditionalFormatting>
  <conditionalFormatting sqref="D9:G9">
    <cfRule type="expression" dxfId="128" priority="3">
      <formula>$AA$8&lt;&gt;""</formula>
    </cfRule>
  </conditionalFormatting>
  <conditionalFormatting sqref="D11:G13">
    <cfRule type="expression" dxfId="127" priority="1">
      <formula>$AA$10&lt;&gt;""</formula>
    </cfRule>
  </conditionalFormatting>
  <conditionalFormatting sqref="D17:G17">
    <cfRule type="expression" dxfId="126" priority="4">
      <formula>$AA$16&lt;&gt;""</formula>
    </cfRule>
  </conditionalFormatting>
  <conditionalFormatting sqref="D2:AP2">
    <cfRule type="expression" dxfId="125" priority="191">
      <formula>$AA$2&lt;&gt;""</formula>
    </cfRule>
  </conditionalFormatting>
  <conditionalFormatting sqref="D3:AP3">
    <cfRule type="expression" dxfId="124" priority="166">
      <formula>$AA$3&lt;&gt;""</formula>
    </cfRule>
  </conditionalFormatting>
  <conditionalFormatting sqref="D4:AP4">
    <cfRule type="expression" dxfId="123" priority="167">
      <formula>$AA$4&lt;&gt;""</formula>
    </cfRule>
  </conditionalFormatting>
  <conditionalFormatting sqref="D5:AP5">
    <cfRule type="expression" dxfId="122" priority="168">
      <formula>$AA$5&lt;&gt;""</formula>
    </cfRule>
  </conditionalFormatting>
  <conditionalFormatting sqref="D6:AP6">
    <cfRule type="expression" dxfId="121" priority="169">
      <formula>$AA$6&lt;&gt;""</formula>
    </cfRule>
  </conditionalFormatting>
  <conditionalFormatting sqref="D7:AP7">
    <cfRule type="expression" dxfId="120" priority="170">
      <formula>$AA$7&lt;&gt;""</formula>
    </cfRule>
  </conditionalFormatting>
  <conditionalFormatting sqref="D8:AP8">
    <cfRule type="expression" dxfId="119" priority="171">
      <formula>$AA$8&lt;&gt;""</formula>
    </cfRule>
  </conditionalFormatting>
  <conditionalFormatting sqref="D10:AP10">
    <cfRule type="expression" dxfId="118" priority="173">
      <formula>$AA$10&lt;&gt;""</formula>
    </cfRule>
  </conditionalFormatting>
  <conditionalFormatting sqref="D14:AP14">
    <cfRule type="expression" dxfId="117" priority="177">
      <formula>$AA$14&lt;&gt;""</formula>
    </cfRule>
  </conditionalFormatting>
  <conditionalFormatting sqref="D15:AP15">
    <cfRule type="expression" dxfId="116" priority="215">
      <formula>$AA$15&lt;&gt;""</formula>
    </cfRule>
  </conditionalFormatting>
  <conditionalFormatting sqref="D16:AP16">
    <cfRule type="expression" dxfId="115" priority="178">
      <formula>$AA$16&lt;&gt;""</formula>
    </cfRule>
  </conditionalFormatting>
  <conditionalFormatting sqref="H37:H52">
    <cfRule type="cellIs" dxfId="114" priority="19" operator="equal">
      <formula>0</formula>
    </cfRule>
  </conditionalFormatting>
  <conditionalFormatting sqref="H3:I4">
    <cfRule type="expression" dxfId="113" priority="54">
      <formula>#REF!="MNG"</formula>
    </cfRule>
    <cfRule type="cellIs" dxfId="112" priority="55" operator="equal">
      <formula>0</formula>
    </cfRule>
  </conditionalFormatting>
  <conditionalFormatting sqref="H5:I5">
    <cfRule type="expression" dxfId="111" priority="58">
      <formula>$BK$39="MNG"</formula>
    </cfRule>
    <cfRule type="cellIs" dxfId="110" priority="59" operator="equal">
      <formula>0</formula>
    </cfRule>
  </conditionalFormatting>
  <conditionalFormatting sqref="H6:I6">
    <cfRule type="expression" dxfId="109" priority="180">
      <formula>$AS$61="MNG"</formula>
    </cfRule>
    <cfRule type="cellIs" dxfId="108" priority="181" operator="equal">
      <formula>0</formula>
    </cfRule>
  </conditionalFormatting>
  <conditionalFormatting sqref="H7:I7">
    <cfRule type="cellIs" dxfId="107" priority="183" operator="equal">
      <formula>0</formula>
    </cfRule>
    <cfRule type="expression" dxfId="106" priority="182">
      <formula>$AS$62="MNG"</formula>
    </cfRule>
  </conditionalFormatting>
  <conditionalFormatting sqref="H8:I8">
    <cfRule type="cellIs" dxfId="105" priority="185" operator="equal">
      <formula>0</formula>
    </cfRule>
    <cfRule type="expression" dxfId="104" priority="184">
      <formula>$AS$63="MNG"</formula>
    </cfRule>
  </conditionalFormatting>
  <conditionalFormatting sqref="H9:I9">
    <cfRule type="expression" dxfId="103" priority="47">
      <formula>$AS$64="MNG"</formula>
    </cfRule>
    <cfRule type="cellIs" dxfId="102" priority="48" operator="equal">
      <formula>0</formula>
    </cfRule>
  </conditionalFormatting>
  <conditionalFormatting sqref="H10:I10">
    <cfRule type="expression" dxfId="101" priority="49">
      <formula>$AS$65="MNG"</formula>
    </cfRule>
    <cfRule type="cellIs" dxfId="100" priority="50" operator="equal">
      <formula>0</formula>
    </cfRule>
  </conditionalFormatting>
  <conditionalFormatting sqref="H11:I11">
    <cfRule type="cellIs" dxfId="99" priority="61" operator="equal">
      <formula>0</formula>
    </cfRule>
    <cfRule type="expression" dxfId="98" priority="60">
      <formula>$BK$45="MNG"</formula>
    </cfRule>
  </conditionalFormatting>
  <conditionalFormatting sqref="H12:I12">
    <cfRule type="expression" dxfId="97" priority="62">
      <formula>$BK$46="MNG"</formula>
    </cfRule>
    <cfRule type="cellIs" dxfId="96" priority="63" operator="equal">
      <formula>0</formula>
    </cfRule>
  </conditionalFormatting>
  <conditionalFormatting sqref="H13:I13">
    <cfRule type="expression" dxfId="95" priority="64">
      <formula>$BK$47="MNG"</formula>
    </cfRule>
    <cfRule type="cellIs" dxfId="94" priority="65" operator="equal">
      <formula>0</formula>
    </cfRule>
  </conditionalFormatting>
  <conditionalFormatting sqref="H14:I14">
    <cfRule type="expression" dxfId="93" priority="66">
      <formula>$BK$48="MNG"</formula>
    </cfRule>
  </conditionalFormatting>
  <conditionalFormatting sqref="H14:I15">
    <cfRule type="cellIs" dxfId="92" priority="67" operator="equal">
      <formula>0</formula>
    </cfRule>
  </conditionalFormatting>
  <conditionalFormatting sqref="H18:J18">
    <cfRule type="expression" dxfId="91" priority="202">
      <formula>$D$18="Star Players"</formula>
    </cfRule>
  </conditionalFormatting>
  <conditionalFormatting sqref="H19:J19">
    <cfRule type="expression" dxfId="90" priority="203">
      <formula>$D$19="Star Players"</formula>
    </cfRule>
  </conditionalFormatting>
  <conditionalFormatting sqref="H20:J20">
    <cfRule type="expression" dxfId="89" priority="39">
      <formula>$D$19="Star Players"</formula>
    </cfRule>
  </conditionalFormatting>
  <conditionalFormatting sqref="H2:O19 P18:AN19">
    <cfRule type="cellIs" dxfId="88" priority="51" operator="equal">
      <formula>0</formula>
    </cfRule>
  </conditionalFormatting>
  <conditionalFormatting sqref="H20:AN20">
    <cfRule type="cellIs" dxfId="87" priority="38" operator="equal">
      <formula>0</formula>
    </cfRule>
  </conditionalFormatting>
  <conditionalFormatting sqref="H9:AP9">
    <cfRule type="expression" dxfId="86" priority="172">
      <formula>$AA$9&lt;&gt;""</formula>
    </cfRule>
  </conditionalFormatting>
  <conditionalFormatting sqref="H11:AP11">
    <cfRule type="expression" dxfId="85" priority="174">
      <formula>$AA$11&lt;&gt;""</formula>
    </cfRule>
  </conditionalFormatting>
  <conditionalFormatting sqref="H12:AP12">
    <cfRule type="expression" dxfId="84" priority="175">
      <formula>$AA$12&lt;&gt;""</formula>
    </cfRule>
  </conditionalFormatting>
  <conditionalFormatting sqref="H13:AP13">
    <cfRule type="expression" dxfId="83" priority="176">
      <formula>$AA$13&lt;&gt;""</formula>
    </cfRule>
  </conditionalFormatting>
  <conditionalFormatting sqref="H17:AP17">
    <cfRule type="expression" dxfId="82" priority="179">
      <formula>$AA$17&lt;&gt;""</formula>
    </cfRule>
  </conditionalFormatting>
  <conditionalFormatting sqref="J18:J20">
    <cfRule type="cellIs" dxfId="81" priority="37" operator="equal">
      <formula>2</formula>
    </cfRule>
  </conditionalFormatting>
  <conditionalFormatting sqref="K2:L2">
    <cfRule type="cellIs" dxfId="80" priority="196" operator="lessThan">
      <formula>X61</formula>
    </cfRule>
    <cfRule type="cellIs" dxfId="79" priority="197" operator="greaterThan">
      <formula>X61</formula>
    </cfRule>
  </conditionalFormatting>
  <conditionalFormatting sqref="K3:L14">
    <cfRule type="cellIs" dxfId="78" priority="69" operator="greaterThan">
      <formula>X62</formula>
    </cfRule>
    <cfRule type="cellIs" dxfId="77" priority="68" operator="lessThan">
      <formula>X62</formula>
    </cfRule>
  </conditionalFormatting>
  <conditionalFormatting sqref="K15:L15 O15">
    <cfRule type="cellIs" dxfId="76" priority="206" operator="equal">
      <formula>0</formula>
    </cfRule>
  </conditionalFormatting>
  <conditionalFormatting sqref="K15:L15">
    <cfRule type="cellIs" dxfId="75" priority="208" operator="lessThan">
      <formula>X74</formula>
    </cfRule>
    <cfRule type="cellIs" dxfId="74" priority="209" operator="greaterThan">
      <formula>X74</formula>
    </cfRule>
  </conditionalFormatting>
  <conditionalFormatting sqref="K16:L17">
    <cfRule type="cellIs" dxfId="73" priority="93" operator="greaterThan">
      <formula>X75</formula>
    </cfRule>
    <cfRule type="cellIs" dxfId="72" priority="92" operator="lessThan">
      <formula>X75</formula>
    </cfRule>
  </conditionalFormatting>
  <conditionalFormatting sqref="K18:O19">
    <cfRule type="cellIs" dxfId="71" priority="226" operator="equal">
      <formula>0</formula>
    </cfRule>
  </conditionalFormatting>
  <conditionalFormatting sqref="K20:O20">
    <cfRule type="cellIs" dxfId="70" priority="42" operator="equal">
      <formula>0</formula>
    </cfRule>
  </conditionalFormatting>
  <conditionalFormatting sqref="L37:L52">
    <cfRule type="cellIs" dxfId="69" priority="8" operator="equal">
      <formula>0</formula>
    </cfRule>
  </conditionalFormatting>
  <conditionalFormatting sqref="M2:M17">
    <cfRule type="expression" dxfId="68" priority="194">
      <formula>N61&gt;Z61</formula>
    </cfRule>
    <cfRule type="expression" dxfId="67" priority="195">
      <formula>N61&lt;Z61</formula>
    </cfRule>
  </conditionalFormatting>
  <conditionalFormatting sqref="M2:O17">
    <cfRule type="cellIs" dxfId="66" priority="52" operator="equal">
      <formula>"0+"</formula>
    </cfRule>
  </conditionalFormatting>
  <conditionalFormatting sqref="N2:N17">
    <cfRule type="expression" dxfId="65" priority="217">
      <formula>O61&gt;AA61</formula>
    </cfRule>
    <cfRule type="expression" dxfId="64" priority="218">
      <formula>O61&lt;AA61</formula>
    </cfRule>
  </conditionalFormatting>
  <conditionalFormatting sqref="N37:P52">
    <cfRule type="cellIs" dxfId="63" priority="7" operator="equal">
      <formula>0</formula>
    </cfRule>
  </conditionalFormatting>
  <conditionalFormatting sqref="O2">
    <cfRule type="expression" dxfId="62" priority="200">
      <formula>P61&lt;AB61</formula>
    </cfRule>
    <cfRule type="expression" dxfId="61" priority="201">
      <formula>P61&gt;AB61</formula>
    </cfRule>
  </conditionalFormatting>
  <conditionalFormatting sqref="O3:O14">
    <cfRule type="expression" dxfId="60" priority="99">
      <formula>P62&lt;AB62</formula>
    </cfRule>
    <cfRule type="expression" dxfId="59" priority="100">
      <formula>P62&gt;AB62</formula>
    </cfRule>
  </conditionalFormatting>
  <conditionalFormatting sqref="O15">
    <cfRule type="expression" dxfId="58" priority="213">
      <formula>P74&lt;AB74</formula>
    </cfRule>
    <cfRule type="expression" dxfId="57" priority="214">
      <formula>P74&gt;AB74</formula>
    </cfRule>
  </conditionalFormatting>
  <conditionalFormatting sqref="O16:O17">
    <cfRule type="expression" dxfId="56" priority="159">
      <formula>P75&lt;AB75</formula>
    </cfRule>
    <cfRule type="expression" dxfId="55" priority="160">
      <formula>P75&gt;AB75</formula>
    </cfRule>
  </conditionalFormatting>
  <conditionalFormatting sqref="P2:P17">
    <cfRule type="cellIs" dxfId="54" priority="192" operator="equal">
      <formula>0&amp;BG2</formula>
    </cfRule>
    <cfRule type="expression" dxfId="53" priority="193">
      <formula>AX2&lt;&gt;""</formula>
    </cfRule>
  </conditionalFormatting>
  <conditionalFormatting sqref="P18:AN18">
    <cfRule type="expression" dxfId="52" priority="204">
      <formula>$AT$18&lt;&gt;""</formula>
    </cfRule>
  </conditionalFormatting>
  <conditionalFormatting sqref="P19:AN19">
    <cfRule type="expression" dxfId="51" priority="205">
      <formula>$AT$19&lt;&gt;""</formula>
    </cfRule>
  </conditionalFormatting>
  <conditionalFormatting sqref="P20:AN20">
    <cfRule type="expression" dxfId="50" priority="40">
      <formula>$AT$19&lt;&gt;""</formula>
    </cfRule>
  </conditionalFormatting>
  <conditionalFormatting sqref="R37:T52">
    <cfRule type="cellIs" dxfId="49" priority="6" operator="equal">
      <formula>0</formula>
    </cfRule>
  </conditionalFormatting>
  <conditionalFormatting sqref="V37:X52">
    <cfRule type="cellIs" dxfId="48" priority="5" operator="equal">
      <formula>0</formula>
    </cfRule>
  </conditionalFormatting>
  <conditionalFormatting sqref="X31">
    <cfRule type="expression" dxfId="47" priority="188">
      <formula>$Z$31=0</formula>
    </cfRule>
  </conditionalFormatting>
  <conditionalFormatting sqref="X32">
    <cfRule type="cellIs" dxfId="46" priority="53" operator="equal">
      <formula>0</formula>
    </cfRule>
  </conditionalFormatting>
  <conditionalFormatting sqref="Y22:AB22">
    <cfRule type="expression" dxfId="45" priority="231">
      <formula>$Z$22=0</formula>
    </cfRule>
  </conditionalFormatting>
  <conditionalFormatting sqref="Y31:AB31">
    <cfRule type="expression" dxfId="44" priority="186">
      <formula>$Z$31=0</formula>
    </cfRule>
  </conditionalFormatting>
  <conditionalFormatting sqref="Z37:AG52">
    <cfRule type="cellIs" dxfId="43" priority="10" operator="equal">
      <formula>0</formula>
    </cfRule>
  </conditionalFormatting>
  <conditionalFormatting sqref="AC22:AD22">
    <cfRule type="expression" dxfId="42" priority="232">
      <formula>$Z$22=0</formula>
    </cfRule>
  </conditionalFormatting>
  <conditionalFormatting sqref="AC31:AD31">
    <cfRule type="expression" dxfId="41" priority="187">
      <formula>$Z$31=0</formula>
    </cfRule>
  </conditionalFormatting>
  <conditionalFormatting sqref="AH37:AI52">
    <cfRule type="cellIs" dxfId="40" priority="46" operator="equal">
      <formula>0</formula>
    </cfRule>
  </conditionalFormatting>
  <conditionalFormatting sqref="AJ31">
    <cfRule type="expression" dxfId="39" priority="190">
      <formula>$AL$31=0</formula>
    </cfRule>
  </conditionalFormatting>
  <conditionalFormatting sqref="AK25:AN25">
    <cfRule type="expression" dxfId="38" priority="219">
      <formula>$AL$25=0</formula>
    </cfRule>
  </conditionalFormatting>
  <conditionalFormatting sqref="AK26:AN26">
    <cfRule type="expression" dxfId="37" priority="220">
      <formula>$AL$26=0</formula>
    </cfRule>
  </conditionalFormatting>
  <conditionalFormatting sqref="AK27:AN27">
    <cfRule type="expression" dxfId="36" priority="221">
      <formula>$AL$27=0</formula>
    </cfRule>
  </conditionalFormatting>
  <conditionalFormatting sqref="AK28:AN28">
    <cfRule type="expression" dxfId="35" priority="222">
      <formula>$AL$28=0</formula>
    </cfRule>
  </conditionalFormatting>
  <conditionalFormatting sqref="AK29:AN29">
    <cfRule type="expression" dxfId="34" priority="224">
      <formula>$AL$29=0</formula>
    </cfRule>
  </conditionalFormatting>
  <conditionalFormatting sqref="AK31:AN31">
    <cfRule type="expression" dxfId="33" priority="189">
      <formula>$AL$31=0</formula>
    </cfRule>
  </conditionalFormatting>
  <conditionalFormatting sqref="AO18:AP20">
    <cfRule type="cellIs" dxfId="32" priority="41" operator="equal">
      <formula>0</formula>
    </cfRule>
  </conditionalFormatting>
  <conditionalFormatting sqref="AO25:AP25">
    <cfRule type="expression" dxfId="31" priority="223">
      <formula>$AL$25=0</formula>
    </cfRule>
  </conditionalFormatting>
  <conditionalFormatting sqref="AO26:AP26">
    <cfRule type="expression" dxfId="30" priority="227">
      <formula>$AL$26=0</formula>
    </cfRule>
  </conditionalFormatting>
  <conditionalFormatting sqref="AO27:AP27">
    <cfRule type="expression" dxfId="29" priority="228">
      <formula>$AL$27=0</formula>
    </cfRule>
  </conditionalFormatting>
  <conditionalFormatting sqref="AO28:AP28">
    <cfRule type="expression" dxfId="28" priority="229">
      <formula>$AL$28=0</formula>
    </cfRule>
  </conditionalFormatting>
  <conditionalFormatting sqref="AO29:AP29">
    <cfRule type="expression" dxfId="27" priority="225">
      <formula>$AL$29=0</formula>
    </cfRule>
  </conditionalFormatting>
  <conditionalFormatting sqref="AO31:AP31">
    <cfRule type="expression" dxfId="26" priority="230">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1" t="str">
        <f>IF(Roster!$K$25="Italiano","STATISTICHE",(IF(Roster!$K$25="Español","ESTADÍSTICAS",(IF(Roster!$K$25="Deutsch","STATISTIK",(IF(Roster!$K$25="Français","STATISITQUES","STATISTICS")))))))</f>
        <v>STATISTICS</v>
      </c>
      <c r="E1" s="442"/>
      <c r="F1" s="416" t="s">
        <v>1196</v>
      </c>
      <c r="G1" s="417"/>
      <c r="H1" s="420"/>
      <c r="I1" s="416" t="str">
        <f>IF(Roster!$K$25="Español","HER",(IF(Roster!$K$25="Deutsch","VER",(IF(Roster!$K$25="Français","BLES","CAS")))))</f>
        <v>CAS</v>
      </c>
      <c r="J1" s="417"/>
      <c r="K1" s="420"/>
      <c r="L1" s="416" t="str">
        <f>IF(Roster!$K$25="Español","HL",(IF(Roster!$K$25="Deutsch","SV",(IF(Roster!$K$25="Français","COM","BH")))))</f>
        <v>BH</v>
      </c>
      <c r="M1" s="417"/>
      <c r="N1" s="418"/>
      <c r="O1" s="419" t="str">
        <f>IF(Roster!$K$25="Español","HG",(IF(Roster!$K$25="Deutsch","BV",(IF(Roster!$K$25="Français","BS","SI")))))</f>
        <v>SI</v>
      </c>
      <c r="P1" s="417"/>
      <c r="Q1" s="418"/>
      <c r="R1" s="419" t="str">
        <f>IF(Roster!$K$25="Italiano","UCCISIONI",(IF(Roster!$K$25="Español","MUERTOS",(IF(Roster!$K$25="Deutsch","TOT",(IF(Roster!$K$25="Français","MORT","KILLS")))))))</f>
        <v>KILLS</v>
      </c>
      <c r="S1" s="417"/>
      <c r="T1" s="420"/>
      <c r="U1" s="416" t="str">
        <f>IF(Roster!$K$25="Italiano","ESPULSI",(IF(Roster!$K$25="Español","EXPULSADOS",(IF(Roster!$K$25="Deutsch","VOM PLATZ G.",(IF(Roster!$K$25="Français","EXPULSÉ","SENT OFF")))))))</f>
        <v>SENT OFF</v>
      </c>
      <c r="V1" s="417"/>
      <c r="W1" s="420"/>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0"/>
    </row>
    <row r="2" spans="1:36" ht="12" customHeight="1" thickBot="1" x14ac:dyDescent="0.25">
      <c r="A2" s="73">
        <f>COUNTIF(AJ6:AJ55,"1")</f>
        <v>1</v>
      </c>
      <c r="B2" s="74">
        <f>COUNTIF(AJ6:AJ55,"2")</f>
        <v>0</v>
      </c>
      <c r="C2" s="75">
        <f>COUNTIF(AJ6:AJ55,"3")</f>
        <v>1</v>
      </c>
      <c r="D2" s="443"/>
      <c r="E2" s="444"/>
      <c r="F2" s="76">
        <f>SUM(F6:F55)</f>
        <v>3</v>
      </c>
      <c r="G2" s="77" t="s">
        <v>253</v>
      </c>
      <c r="H2" s="78">
        <f t="shared" ref="H2:I2" si="0">SUM(H6:H55)</f>
        <v>3</v>
      </c>
      <c r="I2" s="79">
        <f t="shared" si="0"/>
        <v>0</v>
      </c>
      <c r="J2" s="77" t="s">
        <v>253</v>
      </c>
      <c r="K2" s="79">
        <f t="shared" ref="K2:L2" si="1">SUM(K6:K55)</f>
        <v>5</v>
      </c>
      <c r="L2" s="76">
        <f t="shared" si="1"/>
        <v>0</v>
      </c>
      <c r="M2" s="77" t="s">
        <v>253</v>
      </c>
      <c r="N2" s="79">
        <f t="shared" ref="N2:O2" si="2">SUM(N6:N55)</f>
        <v>2</v>
      </c>
      <c r="O2" s="80">
        <f t="shared" si="2"/>
        <v>0</v>
      </c>
      <c r="P2" s="77" t="s">
        <v>253</v>
      </c>
      <c r="Q2" s="79">
        <f t="shared" ref="Q2:R2" si="3">SUM(Q6:Q55)</f>
        <v>2</v>
      </c>
      <c r="R2" s="80">
        <f t="shared" si="3"/>
        <v>0</v>
      </c>
      <c r="S2" s="77" t="s">
        <v>253</v>
      </c>
      <c r="T2" s="78">
        <f t="shared" ref="T2:U2" si="4">SUM(T6:T55)</f>
        <v>1</v>
      </c>
      <c r="U2" s="76">
        <f t="shared" si="4"/>
        <v>0</v>
      </c>
      <c r="V2" s="77" t="s">
        <v>253</v>
      </c>
      <c r="W2" s="78">
        <f t="shared" ref="W2:AA2" si="5">SUM(W6:W55)</f>
        <v>0</v>
      </c>
      <c r="X2" s="81">
        <f t="shared" si="5"/>
        <v>1</v>
      </c>
      <c r="Y2" s="82">
        <f t="shared" ref="Y2" si="6">SUM(Y6:Y55)</f>
        <v>0</v>
      </c>
      <c r="Z2" s="82">
        <f t="shared" si="5"/>
        <v>195000</v>
      </c>
      <c r="AA2" s="81">
        <f t="shared" si="5"/>
        <v>5</v>
      </c>
      <c r="AB2" s="268" t="str">
        <f>IF(Roster!$K$25="Italiano","TIFOSI S. LIBERO",(IF(Roster!$K$25="Español","FANS D. GRATIS",(IF(Roster!$K$25="Deutsch","KOSTENLOS T. FANS",(IF(Roster!$K$25="Français","GRATUIT FANS DÉVOUÉS","FREE D. FANS")))))))</f>
        <v>FREE D. FANS</v>
      </c>
      <c r="AC2" s="267">
        <v>0</v>
      </c>
      <c r="AD2" s="440"/>
      <c r="AF2" s="13">
        <v>1</v>
      </c>
      <c r="AI2" s="13"/>
    </row>
    <row r="3" spans="1:36" ht="11.25" customHeight="1" thickBot="1" x14ac:dyDescent="0.25">
      <c r="A3" s="83">
        <f t="shared" ref="A3:C3" si="7">IFERROR((A2/(COUNTA($F$6:$F$55))),0)</f>
        <v>0.5</v>
      </c>
      <c r="B3" s="84">
        <f t="shared" si="7"/>
        <v>0</v>
      </c>
      <c r="C3" s="85">
        <f t="shared" si="7"/>
        <v>0.5</v>
      </c>
      <c r="D3" s="445"/>
      <c r="E3" s="446"/>
      <c r="F3" s="86">
        <f>IFERROR((F2/(COUNTA($F$6:$F$55))),0)</f>
        <v>1.5</v>
      </c>
      <c r="G3" s="87" t="s">
        <v>253</v>
      </c>
      <c r="H3" s="88">
        <f>IFERROR((H2/(COUNTA($H$6:$H$55))),0)</f>
        <v>1.5</v>
      </c>
      <c r="I3" s="89">
        <f>IFERROR((I2/(COUNTA($I$6:$I$55))),0)</f>
        <v>0</v>
      </c>
      <c r="J3" s="87" t="s">
        <v>253</v>
      </c>
      <c r="K3" s="88">
        <f>IFERROR((K2/(COUNTA($K$6:$K$55))),0)</f>
        <v>0.1</v>
      </c>
      <c r="L3" s="89">
        <f>IFERROR((L2/(COUNTA($L$6:$L$55))),0)</f>
        <v>0</v>
      </c>
      <c r="M3" s="87" t="s">
        <v>253</v>
      </c>
      <c r="N3" s="90">
        <f>IFERROR((N2/(COUNTA($N$6:$N$55))),0)</f>
        <v>1</v>
      </c>
      <c r="O3" s="89">
        <f>IFERROR((O2/(COUNTA($O$6:$O$55))),0)</f>
        <v>0</v>
      </c>
      <c r="P3" s="87" t="s">
        <v>253</v>
      </c>
      <c r="Q3" s="90">
        <f>IFERROR((Q2/(COUNTA($Q$6:$Q$55))),0)</f>
        <v>1</v>
      </c>
      <c r="R3" s="89">
        <f>IFERROR((R2/(COUNTA($R$6:$R$55))),0)</f>
        <v>0</v>
      </c>
      <c r="S3" s="87" t="s">
        <v>253</v>
      </c>
      <c r="T3" s="88">
        <f>IFERROR((T2/(COUNTA($T$6:$T$55))),0)</f>
        <v>0.5</v>
      </c>
      <c r="U3" s="89">
        <f>IFERROR((U2/(COUNTA($U$6:$U$55))),0)</f>
        <v>0</v>
      </c>
      <c r="V3" s="87" t="s">
        <v>253</v>
      </c>
      <c r="W3" s="88">
        <f>IFERROR((W2/(COUNTA($W$6:$W$55))),0)</f>
        <v>0</v>
      </c>
      <c r="X3" s="91">
        <f>IFERROR((X2/(COUNTA($X$6:$X$55))),0)</f>
        <v>1</v>
      </c>
      <c r="Y3" s="92">
        <f>IFERROR((Y2/(COUNTA($Y$6:$Y$55))),0)</f>
        <v>0</v>
      </c>
      <c r="Z3" s="92">
        <f>IFERROR((Z2/(COUNTA($Z$6:$Z$55))),0)</f>
        <v>97500</v>
      </c>
      <c r="AA3" s="93">
        <f>IFERROR((AA2/(COUNTA($AA$6:$AA$55))),0)</f>
        <v>2.5</v>
      </c>
      <c r="AB3" s="268" t="str">
        <f>IF(Roster!$K$25="Italiano","TESORERIA INIZIALI",(IF(Roster!$K$25="Español","TESORERÍA INICIAL",(IF(Roster!$K$25="Deutsch","ANFÄNGLICHER TEAMKASSE",(IF(Roster!$K$25="Français","INITIAL TRÉSORERIE","STARTINT TREASURY")))))))</f>
        <v>STARTINT TREASURY</v>
      </c>
      <c r="AC3" s="267">
        <v>1000000</v>
      </c>
      <c r="AD3" s="440"/>
    </row>
    <row r="4" spans="1:36" ht="7.5" customHeight="1" thickBot="1" x14ac:dyDescent="0.25">
      <c r="A4" s="421"/>
      <c r="B4" s="422"/>
      <c r="C4" s="422"/>
      <c r="D4" s="422"/>
      <c r="E4" s="422"/>
      <c r="F4" s="422"/>
      <c r="G4" s="422"/>
      <c r="H4" s="422"/>
      <c r="I4" s="422"/>
      <c r="J4" s="422"/>
      <c r="K4" s="422"/>
      <c r="L4" s="422"/>
      <c r="M4" s="422"/>
      <c r="N4" s="422"/>
      <c r="O4" s="422"/>
      <c r="P4" s="422"/>
      <c r="Q4" s="422"/>
      <c r="R4" s="422"/>
      <c r="S4" s="422"/>
      <c r="T4" s="422"/>
      <c r="U4" s="422"/>
      <c r="V4" s="422"/>
      <c r="W4" s="422"/>
      <c r="X4" s="422"/>
      <c r="Y4" s="423"/>
      <c r="Z4" s="422"/>
      <c r="AA4" s="422"/>
      <c r="AB4" s="422"/>
      <c r="AC4" s="423"/>
      <c r="AD4" s="440"/>
    </row>
    <row r="5" spans="1:36" ht="21" customHeight="1" x14ac:dyDescent="0.2">
      <c r="A5" s="430">
        <v>0</v>
      </c>
      <c r="B5" s="431"/>
      <c r="C5" s="432"/>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6" t="s">
        <v>1196</v>
      </c>
      <c r="G5" s="427"/>
      <c r="H5" s="425"/>
      <c r="I5" s="426" t="str">
        <f>IF(Roster!$K$25="Español","HER",(IF(Roster!$K$25="Deutsch","VER",(IF(Roster!$K$25="Français","BLES","CAS")))))</f>
        <v>CAS</v>
      </c>
      <c r="J5" s="427"/>
      <c r="K5" s="425"/>
      <c r="L5" s="416" t="str">
        <f>IF(Roster!$K$25="Español","HL",(IF(Roster!$K$25="Deutsch","SV",(IF(Roster!$K$25="Français","COM","BH")))))</f>
        <v>BH</v>
      </c>
      <c r="M5" s="427"/>
      <c r="N5" s="428"/>
      <c r="O5" s="419" t="str">
        <f>IF(Roster!$K$25="Español","HG",(IF(Roster!$K$25="Deutsch","BV",(IF(Roster!$K$25="Français","BS","SI")))))</f>
        <v>SI</v>
      </c>
      <c r="P5" s="427"/>
      <c r="Q5" s="428"/>
      <c r="R5" s="419" t="str">
        <f>IF(Roster!$K$25="Italiano","UCCISIONI",(IF(Roster!$K$25="Español","MUERTOS",(IF(Roster!$K$25="Deutsch","TOT",(IF(Roster!$K$25="Français","MORT","KILLS")))))))</f>
        <v>KILLS</v>
      </c>
      <c r="S5" s="427"/>
      <c r="T5" s="425"/>
      <c r="U5" s="429" t="str">
        <f>IF(Roster!$K$25="Italiano","ESPULSI",(IF(Roster!$K$25="Español","EXPULSADOS",(IF(Roster!$K$25="Deutsch","VOM PLATZ G.",(IF(Roster!$K$25="Français","EXPULSÉ","SENT OFF")))))))</f>
        <v>SENT OFF</v>
      </c>
      <c r="V5" s="427"/>
      <c r="W5" s="425"/>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24" t="str">
        <f>IF(Roster!$K$25="Italiano","NOTE",(IF(Roster!$K$25="Español","NOTAS",(IF(Roster!$K$25="Deutsch","NOTIZEN","NOTES")))))</f>
        <v>NOTES</v>
      </c>
      <c r="AC5" s="425"/>
      <c r="AD5" s="440"/>
      <c r="AE5" s="94"/>
      <c r="AF5" s="95" t="s">
        <v>254</v>
      </c>
      <c r="AG5" s="95" t="s">
        <v>255</v>
      </c>
      <c r="AH5" s="95" t="s">
        <v>256</v>
      </c>
      <c r="AI5" s="94"/>
      <c r="AJ5" s="94"/>
    </row>
    <row r="6" spans="1:36" ht="21" customHeight="1" x14ac:dyDescent="0.2">
      <c r="A6" s="96">
        <v>1</v>
      </c>
      <c r="B6" s="412" t="str">
        <f>IF(F6&lt;&gt;"",(IF(F6&gt;H6,$A$1,(IF(F6=H6,$B$1,(IF(F6&lt;H6,$C$1,"")))))),"")</f>
        <v>lost</v>
      </c>
      <c r="C6" s="413"/>
      <c r="D6" s="138" t="s">
        <v>1845</v>
      </c>
      <c r="E6" s="139" t="s">
        <v>1375</v>
      </c>
      <c r="F6" s="130">
        <v>1</v>
      </c>
      <c r="G6" s="97" t="s">
        <v>253</v>
      </c>
      <c r="H6" s="123">
        <v>2</v>
      </c>
      <c r="I6" s="98">
        <f t="shared" ref="I6:I55" si="8">L6+O6+R6</f>
        <v>0</v>
      </c>
      <c r="J6" s="99" t="s">
        <v>253</v>
      </c>
      <c r="K6" s="100">
        <f t="shared" ref="K6:K55" si="9">N6+Q6+T6</f>
        <v>4</v>
      </c>
      <c r="L6" s="130">
        <v>0</v>
      </c>
      <c r="M6" s="97" t="s">
        <v>253</v>
      </c>
      <c r="N6" s="129">
        <v>1</v>
      </c>
      <c r="O6" s="135">
        <v>0</v>
      </c>
      <c r="P6" s="97" t="s">
        <v>253</v>
      </c>
      <c r="Q6" s="129">
        <v>2</v>
      </c>
      <c r="R6" s="135">
        <v>0</v>
      </c>
      <c r="S6" s="97" t="s">
        <v>253</v>
      </c>
      <c r="T6" s="129">
        <v>1</v>
      </c>
      <c r="U6" s="130">
        <v>0</v>
      </c>
      <c r="V6" s="97" t="s">
        <v>253</v>
      </c>
      <c r="W6" s="123">
        <v>0</v>
      </c>
      <c r="X6" s="123"/>
      <c r="Y6" s="124">
        <v>0</v>
      </c>
      <c r="Z6" s="124">
        <v>100000</v>
      </c>
      <c r="AA6" s="123">
        <v>1</v>
      </c>
      <c r="AB6" s="414" t="s">
        <v>1846</v>
      </c>
      <c r="AC6" s="415"/>
      <c r="AD6" s="440"/>
      <c r="AF6" s="41" t="b">
        <v>0</v>
      </c>
      <c r="AG6" s="41" t="b">
        <v>0</v>
      </c>
      <c r="AH6" s="41" t="b">
        <v>0</v>
      </c>
      <c r="AJ6">
        <f t="shared" ref="AJ6:AJ55" si="10">IF(F6&lt;&gt;"",(IF(F6&gt;H6,1,(IF(F6=H6,2,(IF(F6&lt;H6,3,"")))))),"")</f>
        <v>3</v>
      </c>
    </row>
    <row r="7" spans="1:36" ht="21" customHeight="1" x14ac:dyDescent="0.2">
      <c r="A7" s="101">
        <v>2</v>
      </c>
      <c r="B7" s="412" t="str">
        <f t="shared" ref="B7:B55" si="11">IF(F7&lt;&gt;"",(IF(F7&gt;H7,$A$1,(IF(F7=H7,$B$1,(IF(F7&lt;H7,$C$1,"")))))),"")</f>
        <v>won</v>
      </c>
      <c r="C7" s="413"/>
      <c r="D7" s="140" t="s">
        <v>1851</v>
      </c>
      <c r="E7" s="139" t="s">
        <v>70</v>
      </c>
      <c r="F7" s="132">
        <v>2</v>
      </c>
      <c r="G7" s="102" t="s">
        <v>253</v>
      </c>
      <c r="H7" s="125">
        <v>1</v>
      </c>
      <c r="I7" s="98">
        <f t="shared" si="8"/>
        <v>0</v>
      </c>
      <c r="J7" s="103" t="s">
        <v>253</v>
      </c>
      <c r="K7" s="100">
        <f t="shared" si="9"/>
        <v>1</v>
      </c>
      <c r="L7" s="132">
        <v>0</v>
      </c>
      <c r="M7" s="102" t="s">
        <v>253</v>
      </c>
      <c r="N7" s="131">
        <v>1</v>
      </c>
      <c r="O7" s="136">
        <v>0</v>
      </c>
      <c r="P7" s="102" t="s">
        <v>253</v>
      </c>
      <c r="Q7" s="131">
        <v>0</v>
      </c>
      <c r="R7" s="136">
        <v>0</v>
      </c>
      <c r="S7" s="102" t="s">
        <v>253</v>
      </c>
      <c r="T7" s="131">
        <v>0</v>
      </c>
      <c r="U7" s="132">
        <v>0</v>
      </c>
      <c r="V7" s="102" t="s">
        <v>253</v>
      </c>
      <c r="W7" s="125">
        <v>0</v>
      </c>
      <c r="X7" s="123">
        <v>1</v>
      </c>
      <c r="Y7" s="126">
        <v>0</v>
      </c>
      <c r="Z7" s="126">
        <v>95000</v>
      </c>
      <c r="AA7" s="125">
        <v>4</v>
      </c>
      <c r="AB7" s="414" t="s">
        <v>1846</v>
      </c>
      <c r="AC7" s="415"/>
      <c r="AD7" s="440"/>
      <c r="AF7" s="41" t="b">
        <v>0</v>
      </c>
      <c r="AG7" s="41" t="b">
        <v>0</v>
      </c>
      <c r="AH7" s="41" t="b">
        <v>0</v>
      </c>
      <c r="AJ7">
        <f t="shared" si="10"/>
        <v>1</v>
      </c>
    </row>
    <row r="8" spans="1:36" ht="21" customHeight="1" x14ac:dyDescent="0.2">
      <c r="A8" s="96">
        <v>3</v>
      </c>
      <c r="B8" s="412" t="str">
        <f t="shared" si="11"/>
        <v/>
      </c>
      <c r="C8" s="413"/>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4"/>
      <c r="AC8" s="415"/>
      <c r="AD8" s="440"/>
      <c r="AF8" s="41" t="b">
        <v>0</v>
      </c>
      <c r="AG8" s="41" t="b">
        <v>0</v>
      </c>
      <c r="AH8" s="41" t="b">
        <v>0</v>
      </c>
      <c r="AJ8" t="str">
        <f t="shared" si="10"/>
        <v/>
      </c>
    </row>
    <row r="9" spans="1:36" ht="21" customHeight="1" x14ac:dyDescent="0.2">
      <c r="A9" s="96">
        <v>4</v>
      </c>
      <c r="B9" s="412" t="str">
        <f t="shared" si="11"/>
        <v/>
      </c>
      <c r="C9" s="413"/>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4"/>
      <c r="AC9" s="415"/>
      <c r="AD9" s="440"/>
      <c r="AF9" s="41" t="b">
        <v>0</v>
      </c>
      <c r="AG9" s="41" t="b">
        <v>0</v>
      </c>
      <c r="AH9" s="41" t="b">
        <v>0</v>
      </c>
      <c r="AJ9" t="str">
        <f t="shared" si="10"/>
        <v/>
      </c>
    </row>
    <row r="10" spans="1:36" ht="21" customHeight="1" x14ac:dyDescent="0.2">
      <c r="A10" s="101">
        <v>5</v>
      </c>
      <c r="B10" s="412" t="str">
        <f t="shared" si="11"/>
        <v/>
      </c>
      <c r="C10" s="413"/>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4"/>
      <c r="AC10" s="415"/>
      <c r="AD10" s="440"/>
      <c r="AF10" s="41" t="b">
        <v>0</v>
      </c>
      <c r="AG10" s="41" t="b">
        <v>0</v>
      </c>
      <c r="AH10" s="41" t="b">
        <v>0</v>
      </c>
      <c r="AJ10" t="str">
        <f t="shared" si="10"/>
        <v/>
      </c>
    </row>
    <row r="11" spans="1:36" ht="21" customHeight="1" x14ac:dyDescent="0.2">
      <c r="A11" s="96">
        <v>6</v>
      </c>
      <c r="B11" s="412" t="str">
        <f t="shared" si="11"/>
        <v/>
      </c>
      <c r="C11" s="413"/>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4"/>
      <c r="AC11" s="415"/>
      <c r="AD11" s="440"/>
      <c r="AF11" s="41" t="b">
        <v>0</v>
      </c>
      <c r="AG11" s="41" t="b">
        <v>0</v>
      </c>
      <c r="AH11" s="41" t="b">
        <v>0</v>
      </c>
      <c r="AJ11" t="str">
        <f t="shared" si="10"/>
        <v/>
      </c>
    </row>
    <row r="12" spans="1:36" ht="21" customHeight="1" x14ac:dyDescent="0.2">
      <c r="A12" s="96">
        <v>7</v>
      </c>
      <c r="B12" s="412" t="str">
        <f t="shared" si="11"/>
        <v/>
      </c>
      <c r="C12" s="413"/>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4"/>
      <c r="AC12" s="415"/>
      <c r="AD12" s="440"/>
      <c r="AF12" s="41" t="b">
        <v>0</v>
      </c>
      <c r="AG12" s="41" t="b">
        <v>0</v>
      </c>
      <c r="AH12" s="41" t="b">
        <v>0</v>
      </c>
      <c r="AJ12" t="str">
        <f t="shared" si="10"/>
        <v/>
      </c>
    </row>
    <row r="13" spans="1:36" ht="21" customHeight="1" x14ac:dyDescent="0.2">
      <c r="A13" s="101">
        <v>8</v>
      </c>
      <c r="B13" s="412" t="str">
        <f t="shared" si="11"/>
        <v/>
      </c>
      <c r="C13" s="413"/>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4"/>
      <c r="AC13" s="415"/>
      <c r="AD13" s="440"/>
      <c r="AF13" s="41" t="b">
        <v>0</v>
      </c>
      <c r="AG13" s="41" t="b">
        <v>0</v>
      </c>
      <c r="AH13" s="41" t="b">
        <v>0</v>
      </c>
      <c r="AJ13" t="str">
        <f t="shared" si="10"/>
        <v/>
      </c>
    </row>
    <row r="14" spans="1:36" ht="21" customHeight="1" x14ac:dyDescent="0.2">
      <c r="A14" s="96">
        <v>9</v>
      </c>
      <c r="B14" s="412" t="str">
        <f t="shared" si="11"/>
        <v/>
      </c>
      <c r="C14" s="413"/>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4"/>
      <c r="AC14" s="415"/>
      <c r="AD14" s="440"/>
      <c r="AF14" s="41" t="b">
        <v>0</v>
      </c>
      <c r="AG14" s="41" t="b">
        <v>0</v>
      </c>
      <c r="AH14" s="41" t="b">
        <v>0</v>
      </c>
      <c r="AJ14" t="str">
        <f t="shared" si="10"/>
        <v/>
      </c>
    </row>
    <row r="15" spans="1:36" ht="21" customHeight="1" x14ac:dyDescent="0.2">
      <c r="A15" s="96">
        <v>10</v>
      </c>
      <c r="B15" s="412" t="str">
        <f t="shared" si="11"/>
        <v/>
      </c>
      <c r="C15" s="413"/>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4"/>
      <c r="AC15" s="415"/>
      <c r="AD15" s="440"/>
      <c r="AF15" s="41" t="b">
        <v>0</v>
      </c>
      <c r="AG15" s="41" t="b">
        <v>0</v>
      </c>
      <c r="AH15" s="41" t="b">
        <v>0</v>
      </c>
      <c r="AJ15" t="str">
        <f t="shared" si="10"/>
        <v/>
      </c>
    </row>
    <row r="16" spans="1:36" ht="21" customHeight="1" x14ac:dyDescent="0.2">
      <c r="A16" s="101">
        <v>11</v>
      </c>
      <c r="B16" s="412" t="str">
        <f t="shared" si="11"/>
        <v/>
      </c>
      <c r="C16" s="413"/>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4"/>
      <c r="AC16" s="415"/>
      <c r="AD16" s="440"/>
      <c r="AF16" s="41" t="b">
        <v>0</v>
      </c>
      <c r="AG16" s="41" t="b">
        <v>0</v>
      </c>
      <c r="AH16" s="41" t="b">
        <v>0</v>
      </c>
      <c r="AJ16" t="str">
        <f t="shared" si="10"/>
        <v/>
      </c>
    </row>
    <row r="17" spans="1:36" ht="21" customHeight="1" x14ac:dyDescent="0.2">
      <c r="A17" s="96">
        <v>12</v>
      </c>
      <c r="B17" s="412" t="str">
        <f t="shared" si="11"/>
        <v/>
      </c>
      <c r="C17" s="413"/>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4"/>
      <c r="AC17" s="415"/>
      <c r="AD17" s="440"/>
      <c r="AF17" s="41" t="b">
        <v>0</v>
      </c>
      <c r="AG17" s="41" t="b">
        <v>0</v>
      </c>
      <c r="AH17" s="41" t="b">
        <v>0</v>
      </c>
      <c r="AJ17" t="str">
        <f t="shared" si="10"/>
        <v/>
      </c>
    </row>
    <row r="18" spans="1:36" ht="21" customHeight="1" x14ac:dyDescent="0.2">
      <c r="A18" s="96">
        <v>13</v>
      </c>
      <c r="B18" s="412" t="str">
        <f t="shared" si="11"/>
        <v/>
      </c>
      <c r="C18" s="413"/>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4"/>
      <c r="AC18" s="415"/>
      <c r="AD18" s="440"/>
      <c r="AF18" s="41" t="b">
        <v>0</v>
      </c>
      <c r="AG18" s="41" t="b">
        <v>0</v>
      </c>
      <c r="AH18" s="41" t="b">
        <v>0</v>
      </c>
      <c r="AJ18" t="str">
        <f t="shared" si="10"/>
        <v/>
      </c>
    </row>
    <row r="19" spans="1:36" ht="21" customHeight="1" x14ac:dyDescent="0.2">
      <c r="A19" s="101">
        <v>14</v>
      </c>
      <c r="B19" s="412" t="str">
        <f t="shared" si="11"/>
        <v/>
      </c>
      <c r="C19" s="413"/>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4"/>
      <c r="AC19" s="415"/>
      <c r="AD19" s="440"/>
      <c r="AF19" s="41" t="b">
        <v>0</v>
      </c>
      <c r="AG19" s="41" t="b">
        <v>0</v>
      </c>
      <c r="AH19" s="41" t="b">
        <v>0</v>
      </c>
      <c r="AJ19" t="str">
        <f t="shared" si="10"/>
        <v/>
      </c>
    </row>
    <row r="20" spans="1:36" ht="21" customHeight="1" x14ac:dyDescent="0.2">
      <c r="A20" s="96">
        <v>15</v>
      </c>
      <c r="B20" s="412" t="str">
        <f t="shared" si="11"/>
        <v/>
      </c>
      <c r="C20" s="413"/>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4"/>
      <c r="AC20" s="415"/>
      <c r="AD20" s="440"/>
      <c r="AF20" s="41" t="b">
        <v>0</v>
      </c>
      <c r="AG20" s="41" t="b">
        <v>0</v>
      </c>
      <c r="AH20" s="41" t="b">
        <v>0</v>
      </c>
      <c r="AJ20" t="str">
        <f t="shared" si="10"/>
        <v/>
      </c>
    </row>
    <row r="21" spans="1:36" ht="21" customHeight="1" x14ac:dyDescent="0.2">
      <c r="A21" s="96">
        <v>16</v>
      </c>
      <c r="B21" s="412" t="str">
        <f t="shared" si="11"/>
        <v/>
      </c>
      <c r="C21" s="413"/>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4"/>
      <c r="AC21" s="415"/>
      <c r="AD21" s="440"/>
      <c r="AF21" s="41" t="b">
        <v>0</v>
      </c>
      <c r="AG21" s="41" t="b">
        <v>0</v>
      </c>
      <c r="AH21" s="41" t="b">
        <v>0</v>
      </c>
      <c r="AJ21" t="str">
        <f t="shared" si="10"/>
        <v/>
      </c>
    </row>
    <row r="22" spans="1:36" ht="21" customHeight="1" x14ac:dyDescent="0.2">
      <c r="A22" s="101">
        <v>17</v>
      </c>
      <c r="B22" s="412" t="str">
        <f t="shared" si="11"/>
        <v/>
      </c>
      <c r="C22" s="413"/>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4"/>
      <c r="AC22" s="415"/>
      <c r="AD22" s="440"/>
      <c r="AF22" s="41" t="b">
        <v>0</v>
      </c>
      <c r="AG22" s="41" t="b">
        <v>0</v>
      </c>
      <c r="AH22" s="41" t="b">
        <v>0</v>
      </c>
      <c r="AJ22" t="str">
        <f t="shared" si="10"/>
        <v/>
      </c>
    </row>
    <row r="23" spans="1:36" ht="21" customHeight="1" x14ac:dyDescent="0.2">
      <c r="A23" s="96">
        <v>18</v>
      </c>
      <c r="B23" s="412" t="str">
        <f t="shared" si="11"/>
        <v/>
      </c>
      <c r="C23" s="413"/>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4"/>
      <c r="AC23" s="415"/>
      <c r="AD23" s="440"/>
      <c r="AF23" s="41" t="b">
        <v>0</v>
      </c>
      <c r="AG23" s="41" t="b">
        <v>0</v>
      </c>
      <c r="AH23" s="41" t="b">
        <v>0</v>
      </c>
      <c r="AJ23" t="str">
        <f t="shared" si="10"/>
        <v/>
      </c>
    </row>
    <row r="24" spans="1:36" ht="21" customHeight="1" x14ac:dyDescent="0.2">
      <c r="A24" s="96">
        <v>19</v>
      </c>
      <c r="B24" s="412" t="str">
        <f t="shared" si="11"/>
        <v/>
      </c>
      <c r="C24" s="413"/>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4"/>
      <c r="AC24" s="415"/>
      <c r="AD24" s="440"/>
      <c r="AF24" s="41" t="b">
        <v>0</v>
      </c>
      <c r="AG24" s="41" t="b">
        <v>0</v>
      </c>
      <c r="AH24" s="41" t="b">
        <v>0</v>
      </c>
      <c r="AJ24" t="str">
        <f t="shared" si="10"/>
        <v/>
      </c>
    </row>
    <row r="25" spans="1:36" ht="21" customHeight="1" x14ac:dyDescent="0.2">
      <c r="A25" s="101">
        <v>20</v>
      </c>
      <c r="B25" s="412" t="str">
        <f t="shared" si="11"/>
        <v/>
      </c>
      <c r="C25" s="413"/>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4"/>
      <c r="AC25" s="415"/>
      <c r="AD25" s="440"/>
      <c r="AF25" s="41" t="b">
        <v>0</v>
      </c>
      <c r="AG25" s="41" t="b">
        <v>0</v>
      </c>
      <c r="AH25" s="41" t="b">
        <v>0</v>
      </c>
      <c r="AJ25" t="str">
        <f t="shared" si="10"/>
        <v/>
      </c>
    </row>
    <row r="26" spans="1:36" ht="21" customHeight="1" x14ac:dyDescent="0.2">
      <c r="A26" s="96">
        <v>21</v>
      </c>
      <c r="B26" s="412" t="str">
        <f t="shared" si="11"/>
        <v/>
      </c>
      <c r="C26" s="413"/>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4"/>
      <c r="AC26" s="415"/>
      <c r="AD26" s="440"/>
      <c r="AF26" s="41" t="b">
        <v>0</v>
      </c>
      <c r="AG26" s="41" t="b">
        <v>0</v>
      </c>
      <c r="AH26" s="41" t="b">
        <v>0</v>
      </c>
      <c r="AJ26" t="str">
        <f t="shared" si="10"/>
        <v/>
      </c>
    </row>
    <row r="27" spans="1:36" ht="21" customHeight="1" x14ac:dyDescent="0.2">
      <c r="A27" s="96">
        <v>22</v>
      </c>
      <c r="B27" s="412" t="str">
        <f t="shared" si="11"/>
        <v/>
      </c>
      <c r="C27" s="413"/>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4"/>
      <c r="AC27" s="415"/>
      <c r="AD27" s="440"/>
      <c r="AF27" s="41" t="b">
        <v>0</v>
      </c>
      <c r="AG27" s="41" t="b">
        <v>0</v>
      </c>
      <c r="AH27" s="41" t="b">
        <v>0</v>
      </c>
      <c r="AJ27" t="str">
        <f t="shared" si="10"/>
        <v/>
      </c>
    </row>
    <row r="28" spans="1:36" ht="21" customHeight="1" x14ac:dyDescent="0.2">
      <c r="A28" s="101">
        <v>23</v>
      </c>
      <c r="B28" s="412" t="str">
        <f t="shared" si="11"/>
        <v/>
      </c>
      <c r="C28" s="413"/>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4"/>
      <c r="AC28" s="415"/>
      <c r="AD28" s="440"/>
      <c r="AF28" s="41" t="b">
        <v>0</v>
      </c>
      <c r="AG28" s="41" t="b">
        <v>0</v>
      </c>
      <c r="AH28" s="41" t="b">
        <v>0</v>
      </c>
      <c r="AJ28" t="str">
        <f t="shared" si="10"/>
        <v/>
      </c>
    </row>
    <row r="29" spans="1:36" ht="21" customHeight="1" x14ac:dyDescent="0.2">
      <c r="A29" s="96">
        <v>24</v>
      </c>
      <c r="B29" s="412" t="str">
        <f t="shared" si="11"/>
        <v/>
      </c>
      <c r="C29" s="413"/>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4"/>
      <c r="AC29" s="415"/>
      <c r="AD29" s="440"/>
      <c r="AF29" s="41" t="b">
        <v>0</v>
      </c>
      <c r="AG29" s="41" t="b">
        <v>0</v>
      </c>
      <c r="AH29" s="41" t="b">
        <v>0</v>
      </c>
      <c r="AJ29" t="str">
        <f t="shared" si="10"/>
        <v/>
      </c>
    </row>
    <row r="30" spans="1:36" ht="21" customHeight="1" x14ac:dyDescent="0.2">
      <c r="A30" s="96">
        <v>25</v>
      </c>
      <c r="B30" s="412" t="str">
        <f t="shared" si="11"/>
        <v/>
      </c>
      <c r="C30" s="413"/>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4"/>
      <c r="AC30" s="415"/>
      <c r="AD30" s="440"/>
      <c r="AF30" s="41" t="b">
        <v>0</v>
      </c>
      <c r="AG30" s="41" t="b">
        <v>0</v>
      </c>
      <c r="AH30" s="41" t="b">
        <v>0</v>
      </c>
      <c r="AJ30" t="str">
        <f t="shared" si="10"/>
        <v/>
      </c>
    </row>
    <row r="31" spans="1:36" ht="21" customHeight="1" x14ac:dyDescent="0.2">
      <c r="A31" s="101">
        <v>26</v>
      </c>
      <c r="B31" s="412" t="str">
        <f t="shared" si="11"/>
        <v/>
      </c>
      <c r="C31" s="413"/>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4"/>
      <c r="AC31" s="415"/>
      <c r="AD31" s="440"/>
      <c r="AF31" s="41" t="b">
        <v>0</v>
      </c>
      <c r="AG31" s="41" t="b">
        <v>0</v>
      </c>
      <c r="AH31" s="41" t="b">
        <v>0</v>
      </c>
      <c r="AJ31" t="str">
        <f t="shared" si="10"/>
        <v/>
      </c>
    </row>
    <row r="32" spans="1:36" ht="21" customHeight="1" x14ac:dyDescent="0.2">
      <c r="A32" s="96">
        <v>27</v>
      </c>
      <c r="B32" s="412" t="str">
        <f t="shared" si="11"/>
        <v/>
      </c>
      <c r="C32" s="413"/>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4"/>
      <c r="AC32" s="415"/>
      <c r="AD32" s="440"/>
      <c r="AF32" s="41" t="b">
        <v>0</v>
      </c>
      <c r="AG32" s="41" t="b">
        <v>0</v>
      </c>
      <c r="AH32" s="41" t="b">
        <v>0</v>
      </c>
      <c r="AJ32" t="str">
        <f t="shared" si="10"/>
        <v/>
      </c>
    </row>
    <row r="33" spans="1:36" ht="21" customHeight="1" x14ac:dyDescent="0.2">
      <c r="A33" s="96">
        <v>28</v>
      </c>
      <c r="B33" s="412" t="str">
        <f t="shared" si="11"/>
        <v/>
      </c>
      <c r="C33" s="413"/>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4"/>
      <c r="AC33" s="415"/>
      <c r="AD33" s="440"/>
      <c r="AF33" s="41" t="b">
        <v>0</v>
      </c>
      <c r="AG33" s="41" t="b">
        <v>0</v>
      </c>
      <c r="AH33" s="41" t="b">
        <v>0</v>
      </c>
      <c r="AJ33" t="str">
        <f t="shared" si="10"/>
        <v/>
      </c>
    </row>
    <row r="34" spans="1:36" ht="21" customHeight="1" x14ac:dyDescent="0.2">
      <c r="A34" s="101">
        <v>29</v>
      </c>
      <c r="B34" s="412" t="str">
        <f t="shared" si="11"/>
        <v/>
      </c>
      <c r="C34" s="413"/>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4"/>
      <c r="AC34" s="415"/>
      <c r="AD34" s="440"/>
      <c r="AF34" s="41" t="b">
        <v>0</v>
      </c>
      <c r="AG34" s="41" t="b">
        <v>0</v>
      </c>
      <c r="AH34" s="41" t="b">
        <v>0</v>
      </c>
      <c r="AJ34" t="str">
        <f t="shared" si="10"/>
        <v/>
      </c>
    </row>
    <row r="35" spans="1:36" ht="21" customHeight="1" x14ac:dyDescent="0.2">
      <c r="A35" s="96">
        <v>30</v>
      </c>
      <c r="B35" s="412" t="str">
        <f t="shared" si="11"/>
        <v/>
      </c>
      <c r="C35" s="413"/>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4"/>
      <c r="AC35" s="415"/>
      <c r="AD35" s="440"/>
      <c r="AF35" s="41" t="b">
        <v>0</v>
      </c>
      <c r="AG35" s="41" t="b">
        <v>0</v>
      </c>
      <c r="AH35" s="41" t="b">
        <v>0</v>
      </c>
      <c r="AJ35" t="str">
        <f t="shared" si="10"/>
        <v/>
      </c>
    </row>
    <row r="36" spans="1:36" ht="21" customHeight="1" x14ac:dyDescent="0.2">
      <c r="A36" s="96">
        <v>31</v>
      </c>
      <c r="B36" s="412" t="str">
        <f t="shared" si="11"/>
        <v/>
      </c>
      <c r="C36" s="413"/>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4"/>
      <c r="AC36" s="415"/>
      <c r="AD36" s="440"/>
      <c r="AF36" s="41" t="b">
        <v>0</v>
      </c>
      <c r="AG36" s="41" t="b">
        <v>0</v>
      </c>
      <c r="AH36" s="41" t="b">
        <v>0</v>
      </c>
      <c r="AJ36" t="str">
        <f t="shared" si="10"/>
        <v/>
      </c>
    </row>
    <row r="37" spans="1:36" ht="21" customHeight="1" x14ac:dyDescent="0.2">
      <c r="A37" s="101">
        <v>32</v>
      </c>
      <c r="B37" s="412" t="str">
        <f t="shared" si="11"/>
        <v/>
      </c>
      <c r="C37" s="413"/>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4"/>
      <c r="AC37" s="415"/>
      <c r="AD37" s="440"/>
      <c r="AF37" s="41" t="b">
        <v>0</v>
      </c>
      <c r="AG37" s="41" t="b">
        <v>0</v>
      </c>
      <c r="AH37" s="41" t="b">
        <v>0</v>
      </c>
      <c r="AJ37" t="str">
        <f t="shared" si="10"/>
        <v/>
      </c>
    </row>
    <row r="38" spans="1:36" ht="21" customHeight="1" x14ac:dyDescent="0.2">
      <c r="A38" s="96">
        <v>33</v>
      </c>
      <c r="B38" s="412" t="str">
        <f t="shared" si="11"/>
        <v/>
      </c>
      <c r="C38" s="413"/>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4"/>
      <c r="AC38" s="415"/>
      <c r="AD38" s="440"/>
      <c r="AF38" s="41" t="b">
        <v>0</v>
      </c>
      <c r="AG38" s="41" t="b">
        <v>0</v>
      </c>
      <c r="AH38" s="41" t="b">
        <v>0</v>
      </c>
      <c r="AJ38" t="str">
        <f t="shared" si="10"/>
        <v/>
      </c>
    </row>
    <row r="39" spans="1:36" ht="21" customHeight="1" x14ac:dyDescent="0.2">
      <c r="A39" s="96">
        <v>34</v>
      </c>
      <c r="B39" s="412" t="str">
        <f t="shared" si="11"/>
        <v/>
      </c>
      <c r="C39" s="413"/>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4"/>
      <c r="AC39" s="415"/>
      <c r="AD39" s="440"/>
      <c r="AF39" s="41" t="b">
        <v>0</v>
      </c>
      <c r="AG39" s="41" t="b">
        <v>0</v>
      </c>
      <c r="AH39" s="41" t="b">
        <v>0</v>
      </c>
      <c r="AJ39" t="str">
        <f t="shared" si="10"/>
        <v/>
      </c>
    </row>
    <row r="40" spans="1:36" ht="21" customHeight="1" x14ac:dyDescent="0.2">
      <c r="A40" s="101">
        <v>35</v>
      </c>
      <c r="B40" s="412" t="str">
        <f t="shared" si="11"/>
        <v/>
      </c>
      <c r="C40" s="413"/>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4"/>
      <c r="AC40" s="415"/>
      <c r="AD40" s="440"/>
      <c r="AF40" s="41" t="b">
        <v>0</v>
      </c>
      <c r="AG40" s="41" t="b">
        <v>0</v>
      </c>
      <c r="AH40" s="41" t="b">
        <v>0</v>
      </c>
      <c r="AJ40" t="str">
        <f t="shared" si="10"/>
        <v/>
      </c>
    </row>
    <row r="41" spans="1:36" ht="21" customHeight="1" x14ac:dyDescent="0.2">
      <c r="A41" s="96">
        <v>36</v>
      </c>
      <c r="B41" s="412" t="str">
        <f t="shared" si="11"/>
        <v/>
      </c>
      <c r="C41" s="413"/>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4"/>
      <c r="AC41" s="415"/>
      <c r="AD41" s="440"/>
      <c r="AF41" s="41" t="b">
        <v>0</v>
      </c>
      <c r="AG41" s="41" t="b">
        <v>0</v>
      </c>
      <c r="AH41" s="41" t="b">
        <v>0</v>
      </c>
      <c r="AJ41" t="str">
        <f t="shared" si="10"/>
        <v/>
      </c>
    </row>
    <row r="42" spans="1:36" ht="21" customHeight="1" x14ac:dyDescent="0.2">
      <c r="A42" s="96">
        <v>37</v>
      </c>
      <c r="B42" s="412" t="str">
        <f t="shared" si="11"/>
        <v/>
      </c>
      <c r="C42" s="413"/>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4"/>
      <c r="AC42" s="415"/>
      <c r="AD42" s="440"/>
      <c r="AF42" s="41" t="b">
        <v>0</v>
      </c>
      <c r="AG42" s="41" t="b">
        <v>0</v>
      </c>
      <c r="AH42" s="41" t="b">
        <v>0</v>
      </c>
      <c r="AJ42" t="str">
        <f t="shared" si="10"/>
        <v/>
      </c>
    </row>
    <row r="43" spans="1:36" ht="21" customHeight="1" x14ac:dyDescent="0.2">
      <c r="A43" s="101">
        <v>38</v>
      </c>
      <c r="B43" s="412" t="str">
        <f t="shared" si="11"/>
        <v/>
      </c>
      <c r="C43" s="413"/>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4"/>
      <c r="AC43" s="415"/>
      <c r="AD43" s="440"/>
      <c r="AF43" s="41" t="b">
        <v>0</v>
      </c>
      <c r="AG43" s="41" t="b">
        <v>0</v>
      </c>
      <c r="AH43" s="41" t="b">
        <v>0</v>
      </c>
      <c r="AJ43" t="str">
        <f t="shared" si="10"/>
        <v/>
      </c>
    </row>
    <row r="44" spans="1:36" ht="21" customHeight="1" x14ac:dyDescent="0.2">
      <c r="A44" s="96">
        <v>39</v>
      </c>
      <c r="B44" s="412" t="str">
        <f t="shared" si="11"/>
        <v/>
      </c>
      <c r="C44" s="413"/>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4"/>
      <c r="AC44" s="415"/>
      <c r="AD44" s="440"/>
      <c r="AF44" s="41" t="b">
        <v>0</v>
      </c>
      <c r="AG44" s="41" t="b">
        <v>0</v>
      </c>
      <c r="AH44" s="41" t="b">
        <v>0</v>
      </c>
      <c r="AJ44" t="str">
        <f t="shared" si="10"/>
        <v/>
      </c>
    </row>
    <row r="45" spans="1:36" ht="21" customHeight="1" x14ac:dyDescent="0.2">
      <c r="A45" s="96">
        <v>40</v>
      </c>
      <c r="B45" s="412" t="str">
        <f t="shared" si="11"/>
        <v/>
      </c>
      <c r="C45" s="413"/>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4"/>
      <c r="AC45" s="415"/>
      <c r="AD45" s="440"/>
      <c r="AF45" s="41" t="b">
        <v>0</v>
      </c>
      <c r="AG45" s="41" t="b">
        <v>0</v>
      </c>
      <c r="AH45" s="41" t="b">
        <v>0</v>
      </c>
      <c r="AJ45" t="str">
        <f t="shared" si="10"/>
        <v/>
      </c>
    </row>
    <row r="46" spans="1:36" ht="21" customHeight="1" x14ac:dyDescent="0.2">
      <c r="A46" s="101">
        <v>41</v>
      </c>
      <c r="B46" s="412" t="str">
        <f t="shared" si="11"/>
        <v/>
      </c>
      <c r="C46" s="413"/>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4"/>
      <c r="AC46" s="415"/>
      <c r="AD46" s="440"/>
      <c r="AF46" s="41" t="b">
        <v>0</v>
      </c>
      <c r="AG46" s="41" t="b">
        <v>0</v>
      </c>
      <c r="AH46" s="41" t="b">
        <v>0</v>
      </c>
      <c r="AJ46" t="str">
        <f t="shared" si="10"/>
        <v/>
      </c>
    </row>
    <row r="47" spans="1:36" ht="21" customHeight="1" x14ac:dyDescent="0.2">
      <c r="A47" s="96">
        <v>42</v>
      </c>
      <c r="B47" s="412" t="str">
        <f t="shared" si="11"/>
        <v/>
      </c>
      <c r="C47" s="413"/>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4"/>
      <c r="AC47" s="415"/>
      <c r="AD47" s="440"/>
      <c r="AF47" s="41" t="b">
        <v>0</v>
      </c>
      <c r="AG47" s="41" t="b">
        <v>0</v>
      </c>
      <c r="AH47" s="41" t="b">
        <v>0</v>
      </c>
      <c r="AJ47" t="str">
        <f t="shared" si="10"/>
        <v/>
      </c>
    </row>
    <row r="48" spans="1:36" ht="21" customHeight="1" x14ac:dyDescent="0.2">
      <c r="A48" s="96">
        <v>43</v>
      </c>
      <c r="B48" s="412" t="str">
        <f t="shared" si="11"/>
        <v/>
      </c>
      <c r="C48" s="413"/>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4"/>
      <c r="AC48" s="415"/>
      <c r="AD48" s="440"/>
      <c r="AF48" s="41" t="b">
        <v>0</v>
      </c>
      <c r="AG48" s="41" t="b">
        <v>0</v>
      </c>
      <c r="AH48" s="41" t="b">
        <v>0</v>
      </c>
      <c r="AJ48" t="str">
        <f t="shared" si="10"/>
        <v/>
      </c>
    </row>
    <row r="49" spans="1:36" ht="21" customHeight="1" x14ac:dyDescent="0.2">
      <c r="A49" s="101">
        <v>44</v>
      </c>
      <c r="B49" s="412" t="str">
        <f t="shared" si="11"/>
        <v/>
      </c>
      <c r="C49" s="413"/>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4"/>
      <c r="AC49" s="415"/>
      <c r="AD49" s="440"/>
      <c r="AF49" s="41" t="b">
        <v>0</v>
      </c>
      <c r="AG49" s="41" t="b">
        <v>0</v>
      </c>
      <c r="AH49" s="41" t="b">
        <v>0</v>
      </c>
      <c r="AJ49" t="str">
        <f t="shared" si="10"/>
        <v/>
      </c>
    </row>
    <row r="50" spans="1:36" ht="21" customHeight="1" x14ac:dyDescent="0.2">
      <c r="A50" s="96">
        <v>45</v>
      </c>
      <c r="B50" s="412" t="str">
        <f t="shared" si="11"/>
        <v/>
      </c>
      <c r="C50" s="413"/>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4"/>
      <c r="AC50" s="415"/>
      <c r="AD50" s="440"/>
      <c r="AF50" s="41" t="b">
        <v>0</v>
      </c>
      <c r="AG50" s="41" t="b">
        <v>0</v>
      </c>
      <c r="AH50" s="41" t="b">
        <v>0</v>
      </c>
      <c r="AJ50" t="str">
        <f t="shared" si="10"/>
        <v/>
      </c>
    </row>
    <row r="51" spans="1:36" ht="21" customHeight="1" x14ac:dyDescent="0.2">
      <c r="A51" s="96">
        <v>46</v>
      </c>
      <c r="B51" s="412" t="str">
        <f t="shared" si="11"/>
        <v/>
      </c>
      <c r="C51" s="413"/>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4"/>
      <c r="AC51" s="415"/>
      <c r="AD51" s="440"/>
      <c r="AF51" s="41" t="b">
        <v>0</v>
      </c>
      <c r="AG51" s="41" t="b">
        <v>0</v>
      </c>
      <c r="AH51" s="41" t="b">
        <v>0</v>
      </c>
      <c r="AJ51" t="str">
        <f t="shared" si="10"/>
        <v/>
      </c>
    </row>
    <row r="52" spans="1:36" ht="21" customHeight="1" x14ac:dyDescent="0.2">
      <c r="A52" s="101">
        <v>47</v>
      </c>
      <c r="B52" s="412" t="str">
        <f t="shared" si="11"/>
        <v/>
      </c>
      <c r="C52" s="413"/>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4"/>
      <c r="AC52" s="415"/>
      <c r="AD52" s="440"/>
      <c r="AF52" s="41" t="b">
        <v>0</v>
      </c>
      <c r="AG52" s="41" t="b">
        <v>0</v>
      </c>
      <c r="AH52" s="41" t="b">
        <v>0</v>
      </c>
      <c r="AJ52" t="str">
        <f t="shared" si="10"/>
        <v/>
      </c>
    </row>
    <row r="53" spans="1:36" ht="21" customHeight="1" x14ac:dyDescent="0.2">
      <c r="A53" s="96">
        <v>48</v>
      </c>
      <c r="B53" s="412" t="str">
        <f t="shared" si="11"/>
        <v/>
      </c>
      <c r="C53" s="413"/>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4"/>
      <c r="AC53" s="415"/>
      <c r="AD53" s="440"/>
      <c r="AF53" s="41" t="b">
        <v>0</v>
      </c>
      <c r="AG53" s="41" t="b">
        <v>0</v>
      </c>
      <c r="AH53" s="41" t="b">
        <v>0</v>
      </c>
      <c r="AJ53" t="str">
        <f t="shared" si="10"/>
        <v/>
      </c>
    </row>
    <row r="54" spans="1:36" ht="21" customHeight="1" x14ac:dyDescent="0.2">
      <c r="A54" s="96">
        <v>49</v>
      </c>
      <c r="B54" s="412" t="str">
        <f t="shared" si="11"/>
        <v/>
      </c>
      <c r="C54" s="413"/>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4"/>
      <c r="AC54" s="415"/>
      <c r="AD54" s="440"/>
      <c r="AF54" s="41" t="b">
        <v>0</v>
      </c>
      <c r="AG54" s="41" t="b">
        <v>0</v>
      </c>
      <c r="AH54" s="41" t="b">
        <v>0</v>
      </c>
      <c r="AJ54" t="str">
        <f t="shared" si="10"/>
        <v/>
      </c>
    </row>
    <row r="55" spans="1:36" ht="21" customHeight="1" thickBot="1" x14ac:dyDescent="0.25">
      <c r="A55" s="101">
        <v>50</v>
      </c>
      <c r="B55" s="412" t="str">
        <f t="shared" si="11"/>
        <v/>
      </c>
      <c r="C55" s="413"/>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4"/>
      <c r="AC55" s="415"/>
      <c r="AD55" s="440"/>
      <c r="AF55" s="41" t="b">
        <v>0</v>
      </c>
      <c r="AG55" s="41" t="b">
        <v>0</v>
      </c>
      <c r="AH55" s="41" t="b">
        <v>0</v>
      </c>
      <c r="AJ55" t="str">
        <f t="shared" si="10"/>
        <v/>
      </c>
    </row>
    <row r="56" spans="1:36" ht="21" customHeight="1" thickBot="1" x14ac:dyDescent="0.25">
      <c r="A56" s="438" t="str">
        <f>IF(Roster!K25="Italiano","  Note",(IF(Roster!K25="Español","  Notas",(IF(Roster!K25="Deutsch","  Notizen","  Notes")))))</f>
        <v xml:space="preserve">  Notes</v>
      </c>
      <c r="B56" s="422"/>
      <c r="C56" s="439"/>
      <c r="D56" s="433"/>
      <c r="E56" s="434"/>
      <c r="F56" s="434"/>
      <c r="G56" s="434"/>
      <c r="H56" s="434"/>
      <c r="I56" s="434"/>
      <c r="J56" s="434"/>
      <c r="K56" s="434"/>
      <c r="L56" s="434"/>
      <c r="M56" s="434"/>
      <c r="N56" s="434"/>
      <c r="O56" s="434"/>
      <c r="P56" s="434"/>
      <c r="Q56" s="434"/>
      <c r="R56" s="434"/>
      <c r="S56" s="434"/>
      <c r="T56" s="434"/>
      <c r="U56" s="434"/>
      <c r="V56" s="434"/>
      <c r="W56" s="434"/>
      <c r="X56" s="434"/>
      <c r="Y56" s="435"/>
      <c r="Z56" s="434"/>
      <c r="AA56" s="434"/>
      <c r="AB56" s="434"/>
      <c r="AC56" s="436"/>
      <c r="AD56" s="440"/>
      <c r="AF56" s="13"/>
      <c r="AG56" s="13"/>
      <c r="AH56" s="13"/>
    </row>
    <row r="57" spans="1:36" ht="8.25" customHeight="1" x14ac:dyDescent="0.2">
      <c r="A57" s="437"/>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1"/>
      <c r="Z57" s="296"/>
      <c r="AA57" s="296"/>
      <c r="AB57" s="296"/>
      <c r="AC57" s="296"/>
      <c r="AD57" s="297"/>
    </row>
    <row r="58" spans="1:36" ht="30" hidden="1" customHeight="1" x14ac:dyDescent="0.2">
      <c r="A58" s="108"/>
      <c r="B58" s="411"/>
      <c r="C58" s="35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1"/>
      <c r="C59" s="35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1"/>
      <c r="C60" s="35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1"/>
      <c r="C61" s="35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1"/>
      <c r="C62" s="35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1"/>
      <c r="C63" s="35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1"/>
      <c r="C64" s="35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1"/>
      <c r="C65" s="35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1"/>
      <c r="C66" s="35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1"/>
      <c r="C67" s="35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1"/>
      <c r="C68" s="35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1"/>
      <c r="C69" s="35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1"/>
      <c r="C70" s="35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1"/>
      <c r="C71" s="35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1"/>
      <c r="C72" s="35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1"/>
      <c r="C73" s="35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1"/>
      <c r="C74" s="35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1"/>
      <c r="C75" s="35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1"/>
      <c r="C76" s="35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1"/>
      <c r="C77" s="35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1"/>
      <c r="C78" s="35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1"/>
      <c r="C79" s="35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1"/>
      <c r="C80" s="35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1"/>
      <c r="C81" s="35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1"/>
      <c r="C82" s="35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1"/>
      <c r="C83" s="35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1"/>
      <c r="C84" s="35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1"/>
      <c r="C85" s="35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1"/>
      <c r="C86" s="35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1"/>
      <c r="C87" s="35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1"/>
      <c r="C88" s="35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1"/>
      <c r="C89" s="35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1"/>
      <c r="C90" s="35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1"/>
      <c r="C91" s="35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1"/>
      <c r="C92" s="35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1"/>
      <c r="C93" s="35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1"/>
      <c r="C94" s="35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1"/>
      <c r="C95" s="35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1"/>
      <c r="C96" s="35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1"/>
      <c r="C97" s="35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1"/>
      <c r="C98" s="35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1"/>
      <c r="C99" s="35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1"/>
      <c r="C100" s="35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1"/>
      <c r="C101" s="35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1"/>
      <c r="C102" s="35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1"/>
      <c r="C103" s="35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1"/>
      <c r="C104" s="35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1"/>
      <c r="C105" s="35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1"/>
      <c r="C106" s="35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1"/>
      <c r="C107" s="35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1"/>
      <c r="C108" s="35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1"/>
      <c r="C109" s="35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1"/>
      <c r="C110" s="35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1"/>
      <c r="C111" s="35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1"/>
      <c r="C112" s="35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1"/>
      <c r="C113" s="35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1"/>
      <c r="C114" s="35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1"/>
      <c r="C115" s="35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1"/>
      <c r="C116" s="35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1"/>
      <c r="C117" s="35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1"/>
      <c r="C118" s="35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1"/>
      <c r="C119" s="35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1"/>
      <c r="C120" s="35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1"/>
      <c r="C121" s="35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1"/>
      <c r="C122" s="35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1"/>
      <c r="C123" s="35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1"/>
      <c r="C124" s="35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1"/>
      <c r="C125" s="35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1"/>
      <c r="C126" s="35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1"/>
      <c r="C127" s="35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1"/>
      <c r="C128" s="35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1"/>
      <c r="C129" s="35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1"/>
      <c r="C130" s="35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1"/>
      <c r="C131" s="35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1"/>
      <c r="C132" s="35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1"/>
      <c r="C133" s="35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1"/>
      <c r="C134" s="35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1"/>
      <c r="C135" s="35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1"/>
      <c r="C136" s="35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1"/>
      <c r="C137" s="35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1"/>
      <c r="C138" s="35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1"/>
      <c r="C139" s="35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1"/>
      <c r="C140" s="35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1"/>
      <c r="C141" s="35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1"/>
      <c r="C142" s="35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1"/>
      <c r="C143" s="35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1"/>
      <c r="C144" s="35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1"/>
      <c r="C145" s="35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1"/>
      <c r="C146" s="35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1"/>
      <c r="C147" s="35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1"/>
      <c r="C148" s="35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1"/>
      <c r="C149" s="35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1"/>
      <c r="C150" s="35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1"/>
      <c r="C151" s="35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1"/>
      <c r="C152" s="35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1"/>
      <c r="C153" s="35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1"/>
      <c r="C154" s="35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1"/>
      <c r="C155" s="35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1"/>
      <c r="C156" s="35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1"/>
      <c r="C157" s="35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1"/>
      <c r="C158" s="35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1"/>
      <c r="C159" s="35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1"/>
      <c r="C160" s="35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1"/>
      <c r="C161" s="35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1"/>
      <c r="C162" s="35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1"/>
      <c r="C163" s="35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1"/>
      <c r="C164" s="35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1"/>
      <c r="C165" s="35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1"/>
      <c r="C166" s="35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1"/>
      <c r="C167" s="35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1"/>
      <c r="C168" s="35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1"/>
      <c r="C169" s="35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1"/>
      <c r="C170" s="35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1"/>
      <c r="C171" s="35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1"/>
      <c r="C172" s="35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1"/>
      <c r="C173" s="35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1"/>
      <c r="C174" s="35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1"/>
      <c r="C175" s="35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1"/>
      <c r="C176" s="35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1"/>
      <c r="C177" s="35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1"/>
      <c r="C178" s="35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1"/>
      <c r="C179" s="35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1"/>
      <c r="C180" s="35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1"/>
      <c r="C181" s="35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1"/>
      <c r="C182" s="35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1"/>
      <c r="C183" s="35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1"/>
      <c r="C184" s="35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1"/>
      <c r="C185" s="35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1"/>
      <c r="C186" s="35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1"/>
      <c r="C187" s="35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1"/>
      <c r="C188" s="35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1"/>
      <c r="C189" s="35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1"/>
      <c r="C190" s="35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1"/>
      <c r="C191" s="35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1"/>
      <c r="C192" s="35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1"/>
      <c r="C193" s="35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1"/>
      <c r="C194" s="35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1"/>
      <c r="C195" s="35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1"/>
      <c r="C196" s="35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1"/>
      <c r="C197" s="35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1"/>
      <c r="C198" s="35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1"/>
      <c r="C199" s="35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1"/>
      <c r="C200" s="35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1"/>
      <c r="C201" s="35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1"/>
      <c r="C202" s="35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1"/>
      <c r="C203" s="35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1"/>
      <c r="C204" s="35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1"/>
      <c r="C205" s="35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1"/>
      <c r="C206" s="35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1"/>
      <c r="C207" s="35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1"/>
      <c r="C208" s="35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1"/>
      <c r="C209" s="35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1"/>
      <c r="C210" s="35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1"/>
      <c r="C211" s="35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1"/>
      <c r="C212" s="35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1"/>
      <c r="C213" s="35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1"/>
      <c r="C214" s="35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1"/>
      <c r="C215" s="35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1"/>
      <c r="C216" s="35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1"/>
      <c r="C217" s="35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1"/>
      <c r="C218" s="35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1"/>
      <c r="C219" s="35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1"/>
      <c r="C220" s="35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1"/>
      <c r="C221" s="35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1"/>
      <c r="C222" s="35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1"/>
      <c r="C223" s="35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1"/>
      <c r="C224" s="35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1"/>
      <c r="C225" s="35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1"/>
      <c r="C226" s="35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1"/>
      <c r="C227" s="35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1"/>
      <c r="C228" s="35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1"/>
      <c r="C229" s="35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1"/>
      <c r="C230" s="35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1"/>
      <c r="C231" s="35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1"/>
      <c r="C232" s="35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1"/>
      <c r="C233" s="35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1"/>
      <c r="C234" s="35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1"/>
      <c r="C235" s="35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1"/>
      <c r="C236" s="35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1"/>
      <c r="C237" s="35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1"/>
      <c r="C238" s="35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1"/>
      <c r="C239" s="35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1"/>
      <c r="C240" s="35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1"/>
      <c r="C241" s="35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1"/>
      <c r="C242" s="35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1"/>
      <c r="C243" s="35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1"/>
      <c r="C244" s="35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1"/>
      <c r="C245" s="35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1"/>
      <c r="C246" s="35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1"/>
      <c r="C247" s="35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4"/>
      <c r="AL1" s="8"/>
    </row>
    <row r="2" spans="1:38" ht="22.5" customHeight="1" x14ac:dyDescent="0.2">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293"/>
      <c r="E2" s="293"/>
      <c r="F2" s="294"/>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293"/>
      <c r="N2" s="293"/>
      <c r="O2" s="293"/>
      <c r="P2" s="293"/>
      <c r="Q2" s="293"/>
      <c r="R2" s="293"/>
      <c r="S2" s="293"/>
      <c r="T2" s="293"/>
      <c r="U2" s="293"/>
      <c r="V2" s="294"/>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49" t="str">
        <f>IF(Roster!$K$25="Italiano","SPP Totali",(IF(Roster!$K$25="Español","SPP Totales",(IF(Roster!$K$25="Deutsch","Gesamte SPP",(IF(Roster!$K$25="Français","Total PSP","Total SPP")))))))</f>
        <v>Total SPP</v>
      </c>
      <c r="AG2" s="294"/>
      <c r="AH2" s="349" t="str">
        <f>IF(Roster!$K$25="Italiano","SPP Non Spesi",(IF(Roster!$K$25="Español","SPP Sin gastar",(IF(Roster!$K$25="Deutsch","Verfügb. SPP",(IF(Roster!$K$25="Français","PSP restant","Unspent SPP")))))))</f>
        <v>Unspent SPP</v>
      </c>
      <c r="AI2" s="294"/>
      <c r="AJ2" s="364" t="str">
        <f>IF(Roster!$K$25="Italiano","COSTO",(IF(Roster!$K$25="Español","PRECIO",(IF(Roster!$K$25="Deutsch","WERT",(IF(Roster!$K$25="Français","VALEUR","COST")))))))</f>
        <v>COST</v>
      </c>
      <c r="AK2" s="294"/>
      <c r="AL2" s="449"/>
    </row>
    <row r="3" spans="1:38" ht="22.5" customHeight="1" x14ac:dyDescent="0.2">
      <c r="A3" s="15">
        <v>1</v>
      </c>
      <c r="B3" s="60" t="s">
        <v>1844</v>
      </c>
      <c r="C3" s="339" t="s">
        <v>33</v>
      </c>
      <c r="D3" s="314"/>
      <c r="E3" s="314"/>
      <c r="F3" s="315"/>
      <c r="G3" s="142"/>
      <c r="H3" s="142"/>
      <c r="I3" s="142"/>
      <c r="J3" s="142"/>
      <c r="K3" s="142"/>
      <c r="L3" s="448"/>
      <c r="M3" s="314"/>
      <c r="N3" s="314"/>
      <c r="O3" s="314"/>
      <c r="P3" s="314"/>
      <c r="Q3" s="314"/>
      <c r="R3" s="314"/>
      <c r="S3" s="314"/>
      <c r="T3" s="314"/>
      <c r="U3" s="314"/>
      <c r="V3" s="315"/>
      <c r="W3" s="143"/>
      <c r="X3" s="144"/>
      <c r="Y3" s="144"/>
      <c r="Z3" s="144"/>
      <c r="AA3" s="145"/>
      <c r="AB3" s="145"/>
      <c r="AC3" s="145"/>
      <c r="AD3" s="145"/>
      <c r="AE3" s="145"/>
      <c r="AF3" s="447"/>
      <c r="AG3" s="315"/>
      <c r="AH3" s="447"/>
      <c r="AI3" s="315"/>
      <c r="AJ3" s="451">
        <v>45000</v>
      </c>
      <c r="AK3" s="315"/>
      <c r="AL3" s="290"/>
    </row>
    <row r="4" spans="1:38" ht="22.5" customHeight="1" x14ac:dyDescent="0.2">
      <c r="A4" s="15">
        <v>2</v>
      </c>
      <c r="B4" s="60"/>
      <c r="C4" s="339"/>
      <c r="D4" s="314"/>
      <c r="E4" s="314"/>
      <c r="F4" s="315"/>
      <c r="G4" s="142"/>
      <c r="H4" s="142"/>
      <c r="I4" s="142"/>
      <c r="J4" s="142"/>
      <c r="K4" s="142"/>
      <c r="L4" s="448"/>
      <c r="M4" s="314"/>
      <c r="N4" s="314"/>
      <c r="O4" s="314"/>
      <c r="P4" s="314"/>
      <c r="Q4" s="314"/>
      <c r="R4" s="314"/>
      <c r="S4" s="314"/>
      <c r="T4" s="314"/>
      <c r="U4" s="314"/>
      <c r="V4" s="315"/>
      <c r="W4" s="143"/>
      <c r="X4" s="144"/>
      <c r="Y4" s="144"/>
      <c r="Z4" s="144"/>
      <c r="AA4" s="145"/>
      <c r="AB4" s="145"/>
      <c r="AC4" s="145"/>
      <c r="AD4" s="145"/>
      <c r="AE4" s="145"/>
      <c r="AF4" s="447"/>
      <c r="AG4" s="315"/>
      <c r="AH4" s="447"/>
      <c r="AI4" s="315"/>
      <c r="AJ4" s="447"/>
      <c r="AK4" s="315"/>
      <c r="AL4" s="290"/>
    </row>
    <row r="5" spans="1:38" ht="22.5" customHeight="1" x14ac:dyDescent="0.2">
      <c r="A5" s="15">
        <v>3</v>
      </c>
      <c r="B5" s="60"/>
      <c r="C5" s="339"/>
      <c r="D5" s="314"/>
      <c r="E5" s="314"/>
      <c r="F5" s="315"/>
      <c r="G5" s="142"/>
      <c r="H5" s="142"/>
      <c r="I5" s="142"/>
      <c r="J5" s="142"/>
      <c r="K5" s="142"/>
      <c r="L5" s="448"/>
      <c r="M5" s="314"/>
      <c r="N5" s="314"/>
      <c r="O5" s="314"/>
      <c r="P5" s="314"/>
      <c r="Q5" s="314"/>
      <c r="R5" s="314"/>
      <c r="S5" s="314"/>
      <c r="T5" s="314"/>
      <c r="U5" s="314"/>
      <c r="V5" s="315"/>
      <c r="W5" s="143"/>
      <c r="X5" s="144"/>
      <c r="Y5" s="144"/>
      <c r="Z5" s="144"/>
      <c r="AA5" s="145"/>
      <c r="AB5" s="145"/>
      <c r="AC5" s="145"/>
      <c r="AD5" s="145"/>
      <c r="AE5" s="145"/>
      <c r="AF5" s="447"/>
      <c r="AG5" s="315"/>
      <c r="AH5" s="447"/>
      <c r="AI5" s="315"/>
      <c r="AJ5" s="447"/>
      <c r="AK5" s="315"/>
      <c r="AL5" s="290"/>
    </row>
    <row r="6" spans="1:38" ht="22.5" customHeight="1" x14ac:dyDescent="0.2">
      <c r="A6" s="15">
        <v>4</v>
      </c>
      <c r="B6" s="60"/>
      <c r="C6" s="339"/>
      <c r="D6" s="314"/>
      <c r="E6" s="314"/>
      <c r="F6" s="315"/>
      <c r="G6" s="142"/>
      <c r="H6" s="142"/>
      <c r="I6" s="142"/>
      <c r="J6" s="142"/>
      <c r="K6" s="142"/>
      <c r="L6" s="448"/>
      <c r="M6" s="314"/>
      <c r="N6" s="314"/>
      <c r="O6" s="314"/>
      <c r="P6" s="314"/>
      <c r="Q6" s="314"/>
      <c r="R6" s="314"/>
      <c r="S6" s="314"/>
      <c r="T6" s="314"/>
      <c r="U6" s="314"/>
      <c r="V6" s="315"/>
      <c r="W6" s="143"/>
      <c r="X6" s="144"/>
      <c r="Y6" s="144"/>
      <c r="Z6" s="144"/>
      <c r="AA6" s="145"/>
      <c r="AB6" s="145"/>
      <c r="AC6" s="145"/>
      <c r="AD6" s="145"/>
      <c r="AE6" s="145"/>
      <c r="AF6" s="447"/>
      <c r="AG6" s="315"/>
      <c r="AH6" s="447"/>
      <c r="AI6" s="315"/>
      <c r="AJ6" s="447"/>
      <c r="AK6" s="315"/>
      <c r="AL6" s="290"/>
    </row>
    <row r="7" spans="1:38" ht="22.5" customHeight="1" x14ac:dyDescent="0.2">
      <c r="A7" s="15">
        <v>5</v>
      </c>
      <c r="B7" s="60"/>
      <c r="C7" s="339"/>
      <c r="D7" s="314"/>
      <c r="E7" s="314"/>
      <c r="F7" s="315"/>
      <c r="G7" s="142"/>
      <c r="H7" s="142"/>
      <c r="I7" s="142"/>
      <c r="J7" s="142"/>
      <c r="K7" s="142"/>
      <c r="L7" s="448"/>
      <c r="M7" s="314"/>
      <c r="N7" s="314"/>
      <c r="O7" s="314"/>
      <c r="P7" s="314"/>
      <c r="Q7" s="314"/>
      <c r="R7" s="314"/>
      <c r="S7" s="314"/>
      <c r="T7" s="314"/>
      <c r="U7" s="314"/>
      <c r="V7" s="315"/>
      <c r="W7" s="143"/>
      <c r="X7" s="144"/>
      <c r="Y7" s="144"/>
      <c r="Z7" s="144"/>
      <c r="AA7" s="145"/>
      <c r="AB7" s="145"/>
      <c r="AC7" s="145"/>
      <c r="AD7" s="145"/>
      <c r="AE7" s="145"/>
      <c r="AF7" s="447"/>
      <c r="AG7" s="315"/>
      <c r="AH7" s="447"/>
      <c r="AI7" s="315"/>
      <c r="AJ7" s="447"/>
      <c r="AK7" s="315"/>
      <c r="AL7" s="290"/>
    </row>
    <row r="8" spans="1:38" ht="22.5" customHeight="1" x14ac:dyDescent="0.2">
      <c r="A8" s="15">
        <v>6</v>
      </c>
      <c r="B8" s="60"/>
      <c r="C8" s="339"/>
      <c r="D8" s="314"/>
      <c r="E8" s="314"/>
      <c r="F8" s="315"/>
      <c r="G8" s="142"/>
      <c r="H8" s="142"/>
      <c r="I8" s="142"/>
      <c r="J8" s="142"/>
      <c r="K8" s="142"/>
      <c r="L8" s="448"/>
      <c r="M8" s="314"/>
      <c r="N8" s="314"/>
      <c r="O8" s="314"/>
      <c r="P8" s="314"/>
      <c r="Q8" s="314"/>
      <c r="R8" s="314"/>
      <c r="S8" s="314"/>
      <c r="T8" s="314"/>
      <c r="U8" s="314"/>
      <c r="V8" s="315"/>
      <c r="W8" s="143"/>
      <c r="X8" s="144"/>
      <c r="Y8" s="144"/>
      <c r="Z8" s="144"/>
      <c r="AA8" s="145"/>
      <c r="AB8" s="145"/>
      <c r="AC8" s="145"/>
      <c r="AD8" s="145"/>
      <c r="AE8" s="145"/>
      <c r="AF8" s="447"/>
      <c r="AG8" s="315"/>
      <c r="AH8" s="447"/>
      <c r="AI8" s="315"/>
      <c r="AJ8" s="447"/>
      <c r="AK8" s="315"/>
      <c r="AL8" s="290"/>
    </row>
    <row r="9" spans="1:38" ht="22.5" customHeight="1" x14ac:dyDescent="0.2">
      <c r="A9" s="15">
        <v>7</v>
      </c>
      <c r="B9" s="60"/>
      <c r="C9" s="339"/>
      <c r="D9" s="314"/>
      <c r="E9" s="314"/>
      <c r="F9" s="315"/>
      <c r="G9" s="142"/>
      <c r="H9" s="142"/>
      <c r="I9" s="142"/>
      <c r="J9" s="142"/>
      <c r="K9" s="142"/>
      <c r="L9" s="448"/>
      <c r="M9" s="314"/>
      <c r="N9" s="314"/>
      <c r="O9" s="314"/>
      <c r="P9" s="314"/>
      <c r="Q9" s="314"/>
      <c r="R9" s="314"/>
      <c r="S9" s="314"/>
      <c r="T9" s="314"/>
      <c r="U9" s="314"/>
      <c r="V9" s="315"/>
      <c r="W9" s="143"/>
      <c r="X9" s="144"/>
      <c r="Y9" s="144"/>
      <c r="Z9" s="144"/>
      <c r="AA9" s="145"/>
      <c r="AB9" s="145"/>
      <c r="AC9" s="145"/>
      <c r="AD9" s="145"/>
      <c r="AE9" s="145"/>
      <c r="AF9" s="447"/>
      <c r="AG9" s="315"/>
      <c r="AH9" s="447"/>
      <c r="AI9" s="315"/>
      <c r="AJ9" s="447"/>
      <c r="AK9" s="315"/>
      <c r="AL9" s="290"/>
    </row>
    <row r="10" spans="1:38" ht="22.5" customHeight="1" x14ac:dyDescent="0.2">
      <c r="A10" s="15">
        <v>8</v>
      </c>
      <c r="B10" s="60"/>
      <c r="C10" s="339"/>
      <c r="D10" s="314"/>
      <c r="E10" s="314"/>
      <c r="F10" s="315"/>
      <c r="G10" s="142"/>
      <c r="H10" s="142"/>
      <c r="I10" s="142"/>
      <c r="J10" s="142"/>
      <c r="K10" s="142"/>
      <c r="L10" s="448"/>
      <c r="M10" s="314"/>
      <c r="N10" s="314"/>
      <c r="O10" s="314"/>
      <c r="P10" s="314"/>
      <c r="Q10" s="314"/>
      <c r="R10" s="314"/>
      <c r="S10" s="314"/>
      <c r="T10" s="314"/>
      <c r="U10" s="314"/>
      <c r="V10" s="315"/>
      <c r="W10" s="143"/>
      <c r="X10" s="144"/>
      <c r="Y10" s="144"/>
      <c r="Z10" s="144"/>
      <c r="AA10" s="145"/>
      <c r="AB10" s="145"/>
      <c r="AC10" s="145"/>
      <c r="AD10" s="145"/>
      <c r="AE10" s="145"/>
      <c r="AF10" s="447"/>
      <c r="AG10" s="315"/>
      <c r="AH10" s="447"/>
      <c r="AI10" s="315"/>
      <c r="AJ10" s="447"/>
      <c r="AK10" s="315"/>
      <c r="AL10" s="290"/>
    </row>
    <row r="11" spans="1:38" ht="22.5" customHeight="1" x14ac:dyDescent="0.2">
      <c r="A11" s="15">
        <v>9</v>
      </c>
      <c r="B11" s="60"/>
      <c r="C11" s="339"/>
      <c r="D11" s="314"/>
      <c r="E11" s="314"/>
      <c r="F11" s="315"/>
      <c r="G11" s="142"/>
      <c r="H11" s="142"/>
      <c r="I11" s="142"/>
      <c r="J11" s="142"/>
      <c r="K11" s="142"/>
      <c r="L11" s="448"/>
      <c r="M11" s="314"/>
      <c r="N11" s="314"/>
      <c r="O11" s="314"/>
      <c r="P11" s="314"/>
      <c r="Q11" s="314"/>
      <c r="R11" s="314"/>
      <c r="S11" s="314"/>
      <c r="T11" s="314"/>
      <c r="U11" s="314"/>
      <c r="V11" s="315"/>
      <c r="W11" s="143"/>
      <c r="X11" s="144"/>
      <c r="Y11" s="144"/>
      <c r="Z11" s="144"/>
      <c r="AA11" s="145"/>
      <c r="AB11" s="145"/>
      <c r="AC11" s="145"/>
      <c r="AD11" s="145"/>
      <c r="AE11" s="145"/>
      <c r="AF11" s="447"/>
      <c r="AG11" s="315"/>
      <c r="AH11" s="447"/>
      <c r="AI11" s="315"/>
      <c r="AJ11" s="447"/>
      <c r="AK11" s="315"/>
      <c r="AL11" s="290"/>
    </row>
    <row r="12" spans="1:38" ht="22.5" customHeight="1" x14ac:dyDescent="0.2">
      <c r="A12" s="15">
        <v>10</v>
      </c>
      <c r="B12" s="60"/>
      <c r="C12" s="339"/>
      <c r="D12" s="314"/>
      <c r="E12" s="314"/>
      <c r="F12" s="315"/>
      <c r="G12" s="142"/>
      <c r="H12" s="142"/>
      <c r="I12" s="142"/>
      <c r="J12" s="142"/>
      <c r="K12" s="142"/>
      <c r="L12" s="448"/>
      <c r="M12" s="314"/>
      <c r="N12" s="314"/>
      <c r="O12" s="314"/>
      <c r="P12" s="314"/>
      <c r="Q12" s="314"/>
      <c r="R12" s="314"/>
      <c r="S12" s="314"/>
      <c r="T12" s="314"/>
      <c r="U12" s="314"/>
      <c r="V12" s="315"/>
      <c r="W12" s="143"/>
      <c r="X12" s="144"/>
      <c r="Y12" s="144"/>
      <c r="Z12" s="144"/>
      <c r="AA12" s="145"/>
      <c r="AB12" s="145"/>
      <c r="AC12" s="145"/>
      <c r="AD12" s="145"/>
      <c r="AE12" s="145"/>
      <c r="AF12" s="447"/>
      <c r="AG12" s="315"/>
      <c r="AH12" s="447"/>
      <c r="AI12" s="315"/>
      <c r="AJ12" s="447"/>
      <c r="AK12" s="315"/>
      <c r="AL12" s="290"/>
    </row>
    <row r="13" spans="1:38" ht="22.5" customHeight="1" x14ac:dyDescent="0.2">
      <c r="A13" s="15">
        <v>11</v>
      </c>
      <c r="B13" s="60"/>
      <c r="C13" s="339"/>
      <c r="D13" s="314"/>
      <c r="E13" s="314"/>
      <c r="F13" s="315"/>
      <c r="G13" s="142"/>
      <c r="H13" s="142"/>
      <c r="I13" s="142"/>
      <c r="J13" s="142"/>
      <c r="K13" s="142"/>
      <c r="L13" s="448"/>
      <c r="M13" s="314"/>
      <c r="N13" s="314"/>
      <c r="O13" s="314"/>
      <c r="P13" s="314"/>
      <c r="Q13" s="314"/>
      <c r="R13" s="314"/>
      <c r="S13" s="314"/>
      <c r="T13" s="314"/>
      <c r="U13" s="314"/>
      <c r="V13" s="315"/>
      <c r="W13" s="143"/>
      <c r="X13" s="144"/>
      <c r="Y13" s="144"/>
      <c r="Z13" s="144"/>
      <c r="AA13" s="145"/>
      <c r="AB13" s="145"/>
      <c r="AC13" s="145"/>
      <c r="AD13" s="145"/>
      <c r="AE13" s="145"/>
      <c r="AF13" s="447"/>
      <c r="AG13" s="315"/>
      <c r="AH13" s="447"/>
      <c r="AI13" s="315"/>
      <c r="AJ13" s="447"/>
      <c r="AK13" s="315"/>
      <c r="AL13" s="290"/>
    </row>
    <row r="14" spans="1:38" ht="22.5" customHeight="1" x14ac:dyDescent="0.2">
      <c r="A14" s="15">
        <v>12</v>
      </c>
      <c r="B14" s="60"/>
      <c r="C14" s="339"/>
      <c r="D14" s="314"/>
      <c r="E14" s="314"/>
      <c r="F14" s="315"/>
      <c r="G14" s="142"/>
      <c r="H14" s="142"/>
      <c r="I14" s="142"/>
      <c r="J14" s="142"/>
      <c r="K14" s="142"/>
      <c r="L14" s="448"/>
      <c r="M14" s="314"/>
      <c r="N14" s="314"/>
      <c r="O14" s="314"/>
      <c r="P14" s="314"/>
      <c r="Q14" s="314"/>
      <c r="R14" s="314"/>
      <c r="S14" s="314"/>
      <c r="T14" s="314"/>
      <c r="U14" s="314"/>
      <c r="V14" s="315"/>
      <c r="W14" s="143"/>
      <c r="X14" s="144"/>
      <c r="Y14" s="144"/>
      <c r="Z14" s="144"/>
      <c r="AA14" s="145"/>
      <c r="AB14" s="145"/>
      <c r="AC14" s="145"/>
      <c r="AD14" s="145"/>
      <c r="AE14" s="145"/>
      <c r="AF14" s="447"/>
      <c r="AG14" s="315"/>
      <c r="AH14" s="447"/>
      <c r="AI14" s="315"/>
      <c r="AJ14" s="447"/>
      <c r="AK14" s="315"/>
      <c r="AL14" s="290"/>
    </row>
    <row r="15" spans="1:38" ht="22.5" customHeight="1" x14ac:dyDescent="0.2">
      <c r="A15" s="15">
        <v>13</v>
      </c>
      <c r="B15" s="60"/>
      <c r="C15" s="339"/>
      <c r="D15" s="314"/>
      <c r="E15" s="314"/>
      <c r="F15" s="315"/>
      <c r="G15" s="142"/>
      <c r="H15" s="142"/>
      <c r="I15" s="142"/>
      <c r="J15" s="142"/>
      <c r="K15" s="142"/>
      <c r="L15" s="448"/>
      <c r="M15" s="314"/>
      <c r="N15" s="314"/>
      <c r="O15" s="314"/>
      <c r="P15" s="314"/>
      <c r="Q15" s="314"/>
      <c r="R15" s="314"/>
      <c r="S15" s="314"/>
      <c r="T15" s="314"/>
      <c r="U15" s="314"/>
      <c r="V15" s="315"/>
      <c r="W15" s="143"/>
      <c r="X15" s="144"/>
      <c r="Y15" s="144"/>
      <c r="Z15" s="144"/>
      <c r="AA15" s="145"/>
      <c r="AB15" s="145"/>
      <c r="AC15" s="145"/>
      <c r="AD15" s="145"/>
      <c r="AE15" s="145"/>
      <c r="AF15" s="447"/>
      <c r="AG15" s="315"/>
      <c r="AH15" s="447"/>
      <c r="AI15" s="315"/>
      <c r="AJ15" s="447"/>
      <c r="AK15" s="315"/>
      <c r="AL15" s="290"/>
    </row>
    <row r="16" spans="1:38" ht="22.5" customHeight="1" x14ac:dyDescent="0.2">
      <c r="A16" s="15">
        <v>14</v>
      </c>
      <c r="B16" s="60"/>
      <c r="C16" s="339"/>
      <c r="D16" s="314"/>
      <c r="E16" s="314"/>
      <c r="F16" s="315"/>
      <c r="G16" s="142"/>
      <c r="H16" s="142"/>
      <c r="I16" s="142"/>
      <c r="J16" s="142"/>
      <c r="K16" s="142"/>
      <c r="L16" s="448"/>
      <c r="M16" s="314"/>
      <c r="N16" s="314"/>
      <c r="O16" s="314"/>
      <c r="P16" s="314"/>
      <c r="Q16" s="314"/>
      <c r="R16" s="314"/>
      <c r="S16" s="314"/>
      <c r="T16" s="314"/>
      <c r="U16" s="314"/>
      <c r="V16" s="315"/>
      <c r="W16" s="143"/>
      <c r="X16" s="144"/>
      <c r="Y16" s="144"/>
      <c r="Z16" s="144"/>
      <c r="AA16" s="145"/>
      <c r="AB16" s="145"/>
      <c r="AC16" s="145"/>
      <c r="AD16" s="145"/>
      <c r="AE16" s="145"/>
      <c r="AF16" s="447"/>
      <c r="AG16" s="315"/>
      <c r="AH16" s="447"/>
      <c r="AI16" s="315"/>
      <c r="AJ16" s="447"/>
      <c r="AK16" s="315"/>
      <c r="AL16" s="290"/>
    </row>
    <row r="17" spans="1:38" ht="22.5" customHeight="1" x14ac:dyDescent="0.2">
      <c r="A17" s="15">
        <v>15</v>
      </c>
      <c r="B17" s="60"/>
      <c r="C17" s="339"/>
      <c r="D17" s="314"/>
      <c r="E17" s="314"/>
      <c r="F17" s="315"/>
      <c r="G17" s="142"/>
      <c r="H17" s="142"/>
      <c r="I17" s="142"/>
      <c r="J17" s="142"/>
      <c r="K17" s="142"/>
      <c r="L17" s="448"/>
      <c r="M17" s="314"/>
      <c r="N17" s="314"/>
      <c r="O17" s="314"/>
      <c r="P17" s="314"/>
      <c r="Q17" s="314"/>
      <c r="R17" s="314"/>
      <c r="S17" s="314"/>
      <c r="T17" s="314"/>
      <c r="U17" s="314"/>
      <c r="V17" s="315"/>
      <c r="W17" s="143"/>
      <c r="X17" s="144"/>
      <c r="Y17" s="144"/>
      <c r="Z17" s="144"/>
      <c r="AA17" s="145"/>
      <c r="AB17" s="145"/>
      <c r="AC17" s="145"/>
      <c r="AD17" s="145"/>
      <c r="AE17" s="145"/>
      <c r="AF17" s="447"/>
      <c r="AG17" s="315"/>
      <c r="AH17" s="447"/>
      <c r="AI17" s="315"/>
      <c r="AJ17" s="447"/>
      <c r="AK17" s="315"/>
      <c r="AL17" s="290"/>
    </row>
    <row r="18" spans="1:38" ht="22.5" customHeight="1" x14ac:dyDescent="0.2">
      <c r="A18" s="15">
        <v>16</v>
      </c>
      <c r="B18" s="60"/>
      <c r="C18" s="339"/>
      <c r="D18" s="314"/>
      <c r="E18" s="314"/>
      <c r="F18" s="315"/>
      <c r="G18" s="142">
        <f t="shared" ref="G18:H18" si="0">IFERROR(#REF!,0)</f>
        <v>0</v>
      </c>
      <c r="H18" s="142">
        <f t="shared" si="0"/>
        <v>0</v>
      </c>
      <c r="I18" s="142">
        <f t="shared" ref="I18:K18" si="1">IFERROR(#REF!&amp;"+",0)</f>
        <v>0</v>
      </c>
      <c r="J18" s="142">
        <f t="shared" si="1"/>
        <v>0</v>
      </c>
      <c r="K18" s="142">
        <f t="shared" si="1"/>
        <v>0</v>
      </c>
      <c r="L18" s="448" t="str">
        <f>IFERROR((IF(#REF!="YES",(VLOOKUP(#REF!&amp;C18,Teams!D:M,7,0)&amp;#REF!),#REF!)),"")</f>
        <v/>
      </c>
      <c r="M18" s="314"/>
      <c r="N18" s="314"/>
      <c r="O18" s="314"/>
      <c r="P18" s="314"/>
      <c r="Q18" s="314"/>
      <c r="R18" s="314"/>
      <c r="S18" s="314"/>
      <c r="T18" s="314"/>
      <c r="U18" s="314"/>
      <c r="V18" s="315"/>
      <c r="W18" s="143"/>
      <c r="X18" s="144"/>
      <c r="Y18" s="144"/>
      <c r="Z18" s="144"/>
      <c r="AA18" s="145"/>
      <c r="AB18" s="145"/>
      <c r="AC18" s="145"/>
      <c r="AD18" s="145"/>
      <c r="AE18" s="145"/>
      <c r="AF18" s="447"/>
      <c r="AG18" s="315"/>
      <c r="AH18" s="447"/>
      <c r="AI18" s="315"/>
      <c r="AJ18" s="447"/>
      <c r="AK18" s="315"/>
      <c r="AL18" s="290"/>
    </row>
    <row r="19" spans="1:38" ht="22.5" customHeight="1" x14ac:dyDescent="0.2">
      <c r="A19" s="15">
        <v>17</v>
      </c>
      <c r="B19" s="60"/>
      <c r="C19" s="339"/>
      <c r="D19" s="314"/>
      <c r="E19" s="314"/>
      <c r="F19" s="315"/>
      <c r="G19" s="142">
        <f t="shared" ref="G19:H19" si="2">IFERROR(#REF!,0)</f>
        <v>0</v>
      </c>
      <c r="H19" s="142">
        <f t="shared" si="2"/>
        <v>0</v>
      </c>
      <c r="I19" s="142">
        <f t="shared" ref="I19:K19" si="3">IFERROR(#REF!&amp;"+",0)</f>
        <v>0</v>
      </c>
      <c r="J19" s="142">
        <f t="shared" si="3"/>
        <v>0</v>
      </c>
      <c r="K19" s="142">
        <f t="shared" si="3"/>
        <v>0</v>
      </c>
      <c r="L19" s="448" t="str">
        <f>IFERROR((IF(#REF!="YES",(VLOOKUP(#REF!&amp;C19,Teams!D:M,7,0)&amp;#REF!),#REF!)),"")</f>
        <v/>
      </c>
      <c r="M19" s="314"/>
      <c r="N19" s="314"/>
      <c r="O19" s="314"/>
      <c r="P19" s="314"/>
      <c r="Q19" s="314"/>
      <c r="R19" s="314"/>
      <c r="S19" s="314"/>
      <c r="T19" s="314"/>
      <c r="U19" s="314"/>
      <c r="V19" s="315"/>
      <c r="W19" s="143"/>
      <c r="X19" s="144"/>
      <c r="Y19" s="144"/>
      <c r="Z19" s="144"/>
      <c r="AA19" s="145"/>
      <c r="AB19" s="145"/>
      <c r="AC19" s="145"/>
      <c r="AD19" s="145"/>
      <c r="AE19" s="145"/>
      <c r="AF19" s="447"/>
      <c r="AG19" s="315"/>
      <c r="AH19" s="447"/>
      <c r="AI19" s="315"/>
      <c r="AJ19" s="447"/>
      <c r="AK19" s="315"/>
      <c r="AL19" s="290"/>
    </row>
    <row r="20" spans="1:38" ht="22.5" customHeight="1" x14ac:dyDescent="0.2">
      <c r="A20" s="15">
        <v>18</v>
      </c>
      <c r="B20" s="60"/>
      <c r="C20" s="339"/>
      <c r="D20" s="314"/>
      <c r="E20" s="314"/>
      <c r="F20" s="315"/>
      <c r="G20" s="142">
        <f t="shared" ref="G20:H20" si="4">IFERROR(#REF!,0)</f>
        <v>0</v>
      </c>
      <c r="H20" s="142">
        <f t="shared" si="4"/>
        <v>0</v>
      </c>
      <c r="I20" s="142">
        <f t="shared" ref="I20:K20" si="5">IFERROR(#REF!&amp;"+",0)</f>
        <v>0</v>
      </c>
      <c r="J20" s="142">
        <f t="shared" si="5"/>
        <v>0</v>
      </c>
      <c r="K20" s="142">
        <f t="shared" si="5"/>
        <v>0</v>
      </c>
      <c r="L20" s="448" t="str">
        <f>IFERROR((IF(#REF!="YES",(VLOOKUP(#REF!&amp;C20,Teams!D:M,7,0)&amp;#REF!),#REF!)),"")</f>
        <v/>
      </c>
      <c r="M20" s="314"/>
      <c r="N20" s="314"/>
      <c r="O20" s="314"/>
      <c r="P20" s="314"/>
      <c r="Q20" s="314"/>
      <c r="R20" s="314"/>
      <c r="S20" s="314"/>
      <c r="T20" s="314"/>
      <c r="U20" s="314"/>
      <c r="V20" s="315"/>
      <c r="W20" s="143"/>
      <c r="X20" s="144"/>
      <c r="Y20" s="144"/>
      <c r="Z20" s="144"/>
      <c r="AA20" s="145"/>
      <c r="AB20" s="145"/>
      <c r="AC20" s="145"/>
      <c r="AD20" s="145"/>
      <c r="AE20" s="145"/>
      <c r="AF20" s="447"/>
      <c r="AG20" s="315"/>
      <c r="AH20" s="447"/>
      <c r="AI20" s="315"/>
      <c r="AJ20" s="447"/>
      <c r="AK20" s="315"/>
      <c r="AL20" s="290"/>
    </row>
    <row r="21" spans="1:38" ht="22.5" customHeight="1" x14ac:dyDescent="0.2">
      <c r="A21" s="15">
        <v>19</v>
      </c>
      <c r="B21" s="60"/>
      <c r="C21" s="339"/>
      <c r="D21" s="314"/>
      <c r="E21" s="314"/>
      <c r="F21" s="315"/>
      <c r="G21" s="142">
        <f t="shared" ref="G21:H21" si="6">IFERROR(#REF!,0)</f>
        <v>0</v>
      </c>
      <c r="H21" s="142">
        <f t="shared" si="6"/>
        <v>0</v>
      </c>
      <c r="I21" s="142">
        <f t="shared" ref="I21:K21" si="7">IFERROR(#REF!&amp;"+",0)</f>
        <v>0</v>
      </c>
      <c r="J21" s="142">
        <f t="shared" si="7"/>
        <v>0</v>
      </c>
      <c r="K21" s="142">
        <f t="shared" si="7"/>
        <v>0</v>
      </c>
      <c r="L21" s="448" t="str">
        <f>IFERROR((IF(#REF!="YES",(VLOOKUP(#REF!&amp;C21,Teams!D:M,7,0)&amp;#REF!),#REF!)),"")</f>
        <v/>
      </c>
      <c r="M21" s="314"/>
      <c r="N21" s="314"/>
      <c r="O21" s="314"/>
      <c r="P21" s="314"/>
      <c r="Q21" s="314"/>
      <c r="R21" s="314"/>
      <c r="S21" s="314"/>
      <c r="T21" s="314"/>
      <c r="U21" s="314"/>
      <c r="V21" s="315"/>
      <c r="W21" s="143"/>
      <c r="X21" s="144"/>
      <c r="Y21" s="144"/>
      <c r="Z21" s="144"/>
      <c r="AA21" s="145"/>
      <c r="AB21" s="145"/>
      <c r="AC21" s="145"/>
      <c r="AD21" s="145"/>
      <c r="AE21" s="145"/>
      <c r="AF21" s="447"/>
      <c r="AG21" s="315"/>
      <c r="AH21" s="447"/>
      <c r="AI21" s="315"/>
      <c r="AJ21" s="447"/>
      <c r="AK21" s="315"/>
      <c r="AL21" s="290"/>
    </row>
    <row r="22" spans="1:38" ht="22.5" customHeight="1" x14ac:dyDescent="0.2">
      <c r="A22" s="15">
        <v>20</v>
      </c>
      <c r="B22" s="60"/>
      <c r="C22" s="339"/>
      <c r="D22" s="314"/>
      <c r="E22" s="314"/>
      <c r="F22" s="315"/>
      <c r="G22" s="142">
        <f t="shared" ref="G22:H22" si="8">IFERROR(#REF!,0)</f>
        <v>0</v>
      </c>
      <c r="H22" s="142">
        <f t="shared" si="8"/>
        <v>0</v>
      </c>
      <c r="I22" s="142">
        <f t="shared" ref="I22:K22" si="9">IFERROR(#REF!&amp;"+",0)</f>
        <v>0</v>
      </c>
      <c r="J22" s="142">
        <f t="shared" si="9"/>
        <v>0</v>
      </c>
      <c r="K22" s="142">
        <f t="shared" si="9"/>
        <v>0</v>
      </c>
      <c r="L22" s="448" t="str">
        <f>IFERROR((IF(#REF!="YES",(VLOOKUP(#REF!&amp;C22,Teams!D:M,7,0)&amp;#REF!),#REF!)),"")</f>
        <v/>
      </c>
      <c r="M22" s="314"/>
      <c r="N22" s="314"/>
      <c r="O22" s="314"/>
      <c r="P22" s="314"/>
      <c r="Q22" s="314"/>
      <c r="R22" s="314"/>
      <c r="S22" s="314"/>
      <c r="T22" s="314"/>
      <c r="U22" s="314"/>
      <c r="V22" s="315"/>
      <c r="W22" s="143"/>
      <c r="X22" s="144"/>
      <c r="Y22" s="144"/>
      <c r="Z22" s="144"/>
      <c r="AA22" s="145"/>
      <c r="AB22" s="145"/>
      <c r="AC22" s="145"/>
      <c r="AD22" s="145"/>
      <c r="AE22" s="145"/>
      <c r="AF22" s="447"/>
      <c r="AG22" s="315"/>
      <c r="AH22" s="447"/>
      <c r="AI22" s="315"/>
      <c r="AJ22" s="447"/>
      <c r="AK22" s="315"/>
      <c r="AL22" s="290"/>
    </row>
    <row r="23" spans="1:38" ht="22.5" customHeight="1" x14ac:dyDescent="0.2">
      <c r="A23" s="15">
        <v>21</v>
      </c>
      <c r="B23" s="60"/>
      <c r="C23" s="339"/>
      <c r="D23" s="314"/>
      <c r="E23" s="314"/>
      <c r="F23" s="315"/>
      <c r="G23" s="142">
        <f t="shared" ref="G23:H23" si="10">IFERROR(#REF!,0)</f>
        <v>0</v>
      </c>
      <c r="H23" s="142">
        <f t="shared" si="10"/>
        <v>0</v>
      </c>
      <c r="I23" s="142">
        <f t="shared" ref="I23:K23" si="11">IFERROR(#REF!&amp;"+",0)</f>
        <v>0</v>
      </c>
      <c r="J23" s="142">
        <f t="shared" si="11"/>
        <v>0</v>
      </c>
      <c r="K23" s="142">
        <f t="shared" si="11"/>
        <v>0</v>
      </c>
      <c r="L23" s="448" t="str">
        <f>IFERROR((IF(#REF!="YES",(VLOOKUP(#REF!&amp;C23,Teams!D:M,7,0)&amp;#REF!),#REF!)),"")</f>
        <v/>
      </c>
      <c r="M23" s="314"/>
      <c r="N23" s="314"/>
      <c r="O23" s="314"/>
      <c r="P23" s="314"/>
      <c r="Q23" s="314"/>
      <c r="R23" s="314"/>
      <c r="S23" s="314"/>
      <c r="T23" s="314"/>
      <c r="U23" s="314"/>
      <c r="V23" s="315"/>
      <c r="W23" s="143"/>
      <c r="X23" s="144"/>
      <c r="Y23" s="144"/>
      <c r="Z23" s="144"/>
      <c r="AA23" s="145"/>
      <c r="AB23" s="145"/>
      <c r="AC23" s="145"/>
      <c r="AD23" s="145"/>
      <c r="AE23" s="145"/>
      <c r="AF23" s="447"/>
      <c r="AG23" s="315"/>
      <c r="AH23" s="447"/>
      <c r="AI23" s="315"/>
      <c r="AJ23" s="447"/>
      <c r="AK23" s="315"/>
      <c r="AL23" s="290"/>
    </row>
    <row r="24" spans="1:38" ht="22.5" customHeight="1" x14ac:dyDescent="0.2">
      <c r="A24" s="15">
        <v>22</v>
      </c>
      <c r="B24" s="60"/>
      <c r="C24" s="339"/>
      <c r="D24" s="314"/>
      <c r="E24" s="314"/>
      <c r="F24" s="315"/>
      <c r="G24" s="142">
        <f t="shared" ref="G24:H24" si="12">IFERROR(#REF!,0)</f>
        <v>0</v>
      </c>
      <c r="H24" s="142">
        <f t="shared" si="12"/>
        <v>0</v>
      </c>
      <c r="I24" s="142">
        <f t="shared" ref="I24:K24" si="13">IFERROR(#REF!&amp;"+",0)</f>
        <v>0</v>
      </c>
      <c r="J24" s="142">
        <f t="shared" si="13"/>
        <v>0</v>
      </c>
      <c r="K24" s="142">
        <f t="shared" si="13"/>
        <v>0</v>
      </c>
      <c r="L24" s="448" t="str">
        <f>IFERROR((IF(#REF!="YES",(VLOOKUP(#REF!&amp;C24,Teams!D:M,7,0)&amp;#REF!),#REF!)),"")</f>
        <v/>
      </c>
      <c r="M24" s="314"/>
      <c r="N24" s="314"/>
      <c r="O24" s="314"/>
      <c r="P24" s="314"/>
      <c r="Q24" s="314"/>
      <c r="R24" s="314"/>
      <c r="S24" s="314"/>
      <c r="T24" s="314"/>
      <c r="U24" s="314"/>
      <c r="V24" s="315"/>
      <c r="W24" s="143"/>
      <c r="X24" s="144"/>
      <c r="Y24" s="144"/>
      <c r="Z24" s="144"/>
      <c r="AA24" s="145"/>
      <c r="AB24" s="145"/>
      <c r="AC24" s="145"/>
      <c r="AD24" s="145"/>
      <c r="AE24" s="145"/>
      <c r="AF24" s="447"/>
      <c r="AG24" s="315"/>
      <c r="AH24" s="447"/>
      <c r="AI24" s="315"/>
      <c r="AJ24" s="447"/>
      <c r="AK24" s="315"/>
      <c r="AL24" s="290"/>
    </row>
    <row r="25" spans="1:38" ht="22.5" customHeight="1" x14ac:dyDescent="0.2">
      <c r="A25" s="15">
        <v>23</v>
      </c>
      <c r="B25" s="60"/>
      <c r="C25" s="339"/>
      <c r="D25" s="314"/>
      <c r="E25" s="314"/>
      <c r="F25" s="315"/>
      <c r="G25" s="142">
        <f t="shared" ref="G25:H25" si="14">IFERROR(#REF!,0)</f>
        <v>0</v>
      </c>
      <c r="H25" s="142">
        <f t="shared" si="14"/>
        <v>0</v>
      </c>
      <c r="I25" s="142">
        <f t="shared" ref="I25:K25" si="15">IFERROR(#REF!&amp;"+",0)</f>
        <v>0</v>
      </c>
      <c r="J25" s="142">
        <f t="shared" si="15"/>
        <v>0</v>
      </c>
      <c r="K25" s="142">
        <f t="shared" si="15"/>
        <v>0</v>
      </c>
      <c r="L25" s="448" t="str">
        <f>IFERROR((IF(#REF!="YES",(VLOOKUP(#REF!&amp;C25,Teams!D:M,7,0)&amp;#REF!),#REF!)),"")</f>
        <v/>
      </c>
      <c r="M25" s="314"/>
      <c r="N25" s="314"/>
      <c r="O25" s="314"/>
      <c r="P25" s="314"/>
      <c r="Q25" s="314"/>
      <c r="R25" s="314"/>
      <c r="S25" s="314"/>
      <c r="T25" s="314"/>
      <c r="U25" s="314"/>
      <c r="V25" s="315"/>
      <c r="W25" s="143"/>
      <c r="X25" s="144"/>
      <c r="Y25" s="144"/>
      <c r="Z25" s="144"/>
      <c r="AA25" s="145"/>
      <c r="AB25" s="145"/>
      <c r="AC25" s="145"/>
      <c r="AD25" s="145"/>
      <c r="AE25" s="145"/>
      <c r="AF25" s="447"/>
      <c r="AG25" s="315"/>
      <c r="AH25" s="447"/>
      <c r="AI25" s="315"/>
      <c r="AJ25" s="447"/>
      <c r="AK25" s="315"/>
      <c r="AL25" s="290"/>
    </row>
    <row r="26" spans="1:38" ht="22.5" customHeight="1" x14ac:dyDescent="0.2">
      <c r="A26" s="15">
        <v>24</v>
      </c>
      <c r="B26" s="60"/>
      <c r="C26" s="339"/>
      <c r="D26" s="314"/>
      <c r="E26" s="314"/>
      <c r="F26" s="315"/>
      <c r="G26" s="142">
        <f t="shared" ref="G26:H26" si="16">IFERROR(#REF!,0)</f>
        <v>0</v>
      </c>
      <c r="H26" s="142">
        <f t="shared" si="16"/>
        <v>0</v>
      </c>
      <c r="I26" s="142">
        <f t="shared" ref="I26:K26" si="17">IFERROR(#REF!&amp;"+",0)</f>
        <v>0</v>
      </c>
      <c r="J26" s="142">
        <f t="shared" si="17"/>
        <v>0</v>
      </c>
      <c r="K26" s="142">
        <f t="shared" si="17"/>
        <v>0</v>
      </c>
      <c r="L26" s="448" t="str">
        <f>IFERROR((IF(#REF!="YES",(VLOOKUP(#REF!&amp;C26,Teams!D:M,7,0)&amp;#REF!),#REF!)),"")</f>
        <v/>
      </c>
      <c r="M26" s="314"/>
      <c r="N26" s="314"/>
      <c r="O26" s="314"/>
      <c r="P26" s="314"/>
      <c r="Q26" s="314"/>
      <c r="R26" s="314"/>
      <c r="S26" s="314"/>
      <c r="T26" s="314"/>
      <c r="U26" s="314"/>
      <c r="V26" s="315"/>
      <c r="W26" s="143"/>
      <c r="X26" s="144"/>
      <c r="Y26" s="144"/>
      <c r="Z26" s="144"/>
      <c r="AA26" s="145"/>
      <c r="AB26" s="145"/>
      <c r="AC26" s="145"/>
      <c r="AD26" s="145"/>
      <c r="AE26" s="145"/>
      <c r="AF26" s="447"/>
      <c r="AG26" s="315"/>
      <c r="AH26" s="447"/>
      <c r="AI26" s="315"/>
      <c r="AJ26" s="447"/>
      <c r="AK26" s="315"/>
      <c r="AL26" s="290"/>
    </row>
    <row r="27" spans="1:38" ht="22.5" customHeight="1" x14ac:dyDescent="0.2">
      <c r="A27" s="15">
        <v>25</v>
      </c>
      <c r="B27" s="60"/>
      <c r="C27" s="339"/>
      <c r="D27" s="314"/>
      <c r="E27" s="314"/>
      <c r="F27" s="315"/>
      <c r="G27" s="142">
        <f t="shared" ref="G27:H27" si="18">IFERROR(#REF!,0)</f>
        <v>0</v>
      </c>
      <c r="H27" s="142">
        <f t="shared" si="18"/>
        <v>0</v>
      </c>
      <c r="I27" s="142">
        <f t="shared" ref="I27:K27" si="19">IFERROR(#REF!&amp;"+",0)</f>
        <v>0</v>
      </c>
      <c r="J27" s="142">
        <f t="shared" si="19"/>
        <v>0</v>
      </c>
      <c r="K27" s="142">
        <f t="shared" si="19"/>
        <v>0</v>
      </c>
      <c r="L27" s="448" t="str">
        <f>IFERROR((IF(#REF!="YES",(VLOOKUP(#REF!&amp;C27,Teams!D:M,7,0)&amp;#REF!),#REF!)),"")</f>
        <v/>
      </c>
      <c r="M27" s="314"/>
      <c r="N27" s="314"/>
      <c r="O27" s="314"/>
      <c r="P27" s="314"/>
      <c r="Q27" s="314"/>
      <c r="R27" s="314"/>
      <c r="S27" s="314"/>
      <c r="T27" s="314"/>
      <c r="U27" s="314"/>
      <c r="V27" s="315"/>
      <c r="W27" s="143"/>
      <c r="X27" s="144"/>
      <c r="Y27" s="144"/>
      <c r="Z27" s="144"/>
      <c r="AA27" s="145"/>
      <c r="AB27" s="145"/>
      <c r="AC27" s="145"/>
      <c r="AD27" s="145"/>
      <c r="AE27" s="145"/>
      <c r="AF27" s="447"/>
      <c r="AG27" s="315"/>
      <c r="AH27" s="447"/>
      <c r="AI27" s="315"/>
      <c r="AJ27" s="447"/>
      <c r="AK27" s="315"/>
      <c r="AL27" s="290"/>
    </row>
    <row r="28" spans="1:38" ht="22.5" customHeight="1" x14ac:dyDescent="0.2">
      <c r="A28" s="15">
        <v>26</v>
      </c>
      <c r="B28" s="60"/>
      <c r="C28" s="339"/>
      <c r="D28" s="314"/>
      <c r="E28" s="314"/>
      <c r="F28" s="315"/>
      <c r="G28" s="142">
        <f t="shared" ref="G28:H28" si="20">IFERROR(#REF!,0)</f>
        <v>0</v>
      </c>
      <c r="H28" s="142">
        <f t="shared" si="20"/>
        <v>0</v>
      </c>
      <c r="I28" s="142">
        <f t="shared" ref="I28:K28" si="21">IFERROR(#REF!&amp;"+",0)</f>
        <v>0</v>
      </c>
      <c r="J28" s="142">
        <f t="shared" si="21"/>
        <v>0</v>
      </c>
      <c r="K28" s="142">
        <f t="shared" si="21"/>
        <v>0</v>
      </c>
      <c r="L28" s="448" t="str">
        <f>IFERROR((IF(#REF!="YES",(VLOOKUP(#REF!&amp;C28,Teams!D:M,7,0)&amp;#REF!),#REF!)),"")</f>
        <v/>
      </c>
      <c r="M28" s="314"/>
      <c r="N28" s="314"/>
      <c r="O28" s="314"/>
      <c r="P28" s="314"/>
      <c r="Q28" s="314"/>
      <c r="R28" s="314"/>
      <c r="S28" s="314"/>
      <c r="T28" s="314"/>
      <c r="U28" s="314"/>
      <c r="V28" s="315"/>
      <c r="W28" s="143"/>
      <c r="X28" s="144"/>
      <c r="Y28" s="144"/>
      <c r="Z28" s="144"/>
      <c r="AA28" s="145"/>
      <c r="AB28" s="145"/>
      <c r="AC28" s="145"/>
      <c r="AD28" s="145"/>
      <c r="AE28" s="145"/>
      <c r="AF28" s="447"/>
      <c r="AG28" s="315"/>
      <c r="AH28" s="447"/>
      <c r="AI28" s="315"/>
      <c r="AJ28" s="447"/>
      <c r="AK28" s="315"/>
      <c r="AL28" s="290"/>
    </row>
    <row r="29" spans="1:38" ht="22.5" customHeight="1" x14ac:dyDescent="0.2">
      <c r="A29" s="15">
        <v>27</v>
      </c>
      <c r="B29" s="60"/>
      <c r="C29" s="339"/>
      <c r="D29" s="314"/>
      <c r="E29" s="314"/>
      <c r="F29" s="315"/>
      <c r="G29" s="142">
        <f t="shared" ref="G29:H29" si="22">IFERROR(#REF!,0)</f>
        <v>0</v>
      </c>
      <c r="H29" s="142">
        <f t="shared" si="22"/>
        <v>0</v>
      </c>
      <c r="I29" s="142">
        <f t="shared" ref="I29:K29" si="23">IFERROR(#REF!&amp;"+",0)</f>
        <v>0</v>
      </c>
      <c r="J29" s="142">
        <f t="shared" si="23"/>
        <v>0</v>
      </c>
      <c r="K29" s="142">
        <f t="shared" si="23"/>
        <v>0</v>
      </c>
      <c r="L29" s="448" t="str">
        <f>IFERROR((IF(#REF!="YES",(VLOOKUP(#REF!&amp;C29,Teams!D:M,7,0)&amp;#REF!),#REF!)),"")</f>
        <v/>
      </c>
      <c r="M29" s="314"/>
      <c r="N29" s="314"/>
      <c r="O29" s="314"/>
      <c r="P29" s="314"/>
      <c r="Q29" s="314"/>
      <c r="R29" s="314"/>
      <c r="S29" s="314"/>
      <c r="T29" s="314"/>
      <c r="U29" s="314"/>
      <c r="V29" s="315"/>
      <c r="W29" s="143"/>
      <c r="X29" s="144"/>
      <c r="Y29" s="144"/>
      <c r="Z29" s="144"/>
      <c r="AA29" s="145"/>
      <c r="AB29" s="145"/>
      <c r="AC29" s="145"/>
      <c r="AD29" s="145"/>
      <c r="AE29" s="145"/>
      <c r="AF29" s="447"/>
      <c r="AG29" s="315"/>
      <c r="AH29" s="447"/>
      <c r="AI29" s="315"/>
      <c r="AJ29" s="447"/>
      <c r="AK29" s="315"/>
      <c r="AL29" s="290"/>
    </row>
    <row r="30" spans="1:38" ht="22.5" customHeight="1" x14ac:dyDescent="0.2">
      <c r="A30" s="15">
        <v>28</v>
      </c>
      <c r="B30" s="60"/>
      <c r="C30" s="339"/>
      <c r="D30" s="314"/>
      <c r="E30" s="314"/>
      <c r="F30" s="315"/>
      <c r="G30" s="142">
        <f t="shared" ref="G30:H30" si="24">IFERROR(#REF!,0)</f>
        <v>0</v>
      </c>
      <c r="H30" s="142">
        <f t="shared" si="24"/>
        <v>0</v>
      </c>
      <c r="I30" s="142">
        <f t="shared" ref="I30:K30" si="25">IFERROR(#REF!&amp;"+",0)</f>
        <v>0</v>
      </c>
      <c r="J30" s="142">
        <f t="shared" si="25"/>
        <v>0</v>
      </c>
      <c r="K30" s="142">
        <f t="shared" si="25"/>
        <v>0</v>
      </c>
      <c r="L30" s="448" t="str">
        <f>IFERROR((IF(#REF!="YES",(VLOOKUP(#REF!&amp;C30,Teams!D:M,7,0)&amp;#REF!),#REF!)),"")</f>
        <v/>
      </c>
      <c r="M30" s="314"/>
      <c r="N30" s="314"/>
      <c r="O30" s="314"/>
      <c r="P30" s="314"/>
      <c r="Q30" s="314"/>
      <c r="R30" s="314"/>
      <c r="S30" s="314"/>
      <c r="T30" s="314"/>
      <c r="U30" s="314"/>
      <c r="V30" s="315"/>
      <c r="W30" s="143"/>
      <c r="X30" s="144"/>
      <c r="Y30" s="144"/>
      <c r="Z30" s="144"/>
      <c r="AA30" s="145"/>
      <c r="AB30" s="145"/>
      <c r="AC30" s="145"/>
      <c r="AD30" s="145"/>
      <c r="AE30" s="145"/>
      <c r="AF30" s="447"/>
      <c r="AG30" s="315"/>
      <c r="AH30" s="447"/>
      <c r="AI30" s="315"/>
      <c r="AJ30" s="447"/>
      <c r="AK30" s="315"/>
      <c r="AL30" s="290"/>
    </row>
    <row r="31" spans="1:38" ht="22.5" customHeight="1" x14ac:dyDescent="0.2">
      <c r="A31" s="15">
        <v>29</v>
      </c>
      <c r="B31" s="60"/>
      <c r="C31" s="339"/>
      <c r="D31" s="314"/>
      <c r="E31" s="314"/>
      <c r="F31" s="315"/>
      <c r="G31" s="142">
        <f t="shared" ref="G31:H31" si="26">IFERROR(#REF!,0)</f>
        <v>0</v>
      </c>
      <c r="H31" s="142">
        <f t="shared" si="26"/>
        <v>0</v>
      </c>
      <c r="I31" s="142">
        <f t="shared" ref="I31:K31" si="27">IFERROR(#REF!&amp;"+",0)</f>
        <v>0</v>
      </c>
      <c r="J31" s="142">
        <f t="shared" si="27"/>
        <v>0</v>
      </c>
      <c r="K31" s="142">
        <f t="shared" si="27"/>
        <v>0</v>
      </c>
      <c r="L31" s="448" t="str">
        <f>IFERROR((IF(#REF!="YES",(VLOOKUP(#REF!&amp;C31,Teams!D:M,7,0)&amp;#REF!),#REF!)),"")</f>
        <v/>
      </c>
      <c r="M31" s="314"/>
      <c r="N31" s="314"/>
      <c r="O31" s="314"/>
      <c r="P31" s="314"/>
      <c r="Q31" s="314"/>
      <c r="R31" s="314"/>
      <c r="S31" s="314"/>
      <c r="T31" s="314"/>
      <c r="U31" s="314"/>
      <c r="V31" s="315"/>
      <c r="W31" s="143"/>
      <c r="X31" s="144"/>
      <c r="Y31" s="144"/>
      <c r="Z31" s="144"/>
      <c r="AA31" s="145"/>
      <c r="AB31" s="145"/>
      <c r="AC31" s="145"/>
      <c r="AD31" s="145"/>
      <c r="AE31" s="145"/>
      <c r="AF31" s="447"/>
      <c r="AG31" s="315"/>
      <c r="AH31" s="447"/>
      <c r="AI31" s="315"/>
      <c r="AJ31" s="447"/>
      <c r="AK31" s="315"/>
      <c r="AL31" s="290"/>
    </row>
    <row r="32" spans="1:38" ht="22.5" customHeight="1" x14ac:dyDescent="0.2">
      <c r="A32" s="15">
        <v>30</v>
      </c>
      <c r="B32" s="60"/>
      <c r="C32" s="339"/>
      <c r="D32" s="314"/>
      <c r="E32" s="314"/>
      <c r="F32" s="315"/>
      <c r="G32" s="142">
        <f t="shared" ref="G32:H32" si="28">IFERROR(#REF!,0)</f>
        <v>0</v>
      </c>
      <c r="H32" s="142">
        <f t="shared" si="28"/>
        <v>0</v>
      </c>
      <c r="I32" s="142">
        <f t="shared" ref="I32:K32" si="29">IFERROR(#REF!&amp;"+",0)</f>
        <v>0</v>
      </c>
      <c r="J32" s="142">
        <f t="shared" si="29"/>
        <v>0</v>
      </c>
      <c r="K32" s="142">
        <f t="shared" si="29"/>
        <v>0</v>
      </c>
      <c r="L32" s="448" t="str">
        <f>IFERROR((IF(#REF!="YES",(VLOOKUP(#REF!&amp;C32,Teams!D:M,7,0)&amp;#REF!),#REF!)),"")</f>
        <v/>
      </c>
      <c r="M32" s="314"/>
      <c r="N32" s="314"/>
      <c r="O32" s="314"/>
      <c r="P32" s="314"/>
      <c r="Q32" s="314"/>
      <c r="R32" s="314"/>
      <c r="S32" s="314"/>
      <c r="T32" s="314"/>
      <c r="U32" s="314"/>
      <c r="V32" s="315"/>
      <c r="W32" s="143"/>
      <c r="X32" s="144"/>
      <c r="Y32" s="144"/>
      <c r="Z32" s="144"/>
      <c r="AA32" s="145"/>
      <c r="AB32" s="145"/>
      <c r="AC32" s="145"/>
      <c r="AD32" s="145"/>
      <c r="AE32" s="145"/>
      <c r="AF32" s="447"/>
      <c r="AG32" s="315"/>
      <c r="AH32" s="447"/>
      <c r="AI32" s="315"/>
      <c r="AJ32" s="447"/>
      <c r="AK32" s="315"/>
      <c r="AL32" s="450"/>
    </row>
    <row r="33" spans="1:38" ht="15" customHeight="1" x14ac:dyDescent="0.2">
      <c r="A33" s="452"/>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7"/>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0" t="str">
        <f>IF(Roster!$K$25="Italiano","MERCENARIO 1",(IF(Roster!$K$25="Español","MERCENARIO 1",(IF(Roster!$K$25="Français","MERCENAIRE 1","MERCENARY 1")))))</f>
        <v>MERCENARY 1</v>
      </c>
      <c r="B1" s="470"/>
      <c r="C1" s="470"/>
      <c r="D1" s="470"/>
      <c r="E1" s="470"/>
      <c r="F1" s="470"/>
      <c r="G1" s="470"/>
      <c r="H1" s="470"/>
      <c r="I1" s="470"/>
      <c r="J1" s="470"/>
      <c r="K1" s="470"/>
      <c r="L1" s="470"/>
      <c r="M1" s="470"/>
      <c r="N1" s="470"/>
      <c r="O1" s="470"/>
      <c r="P1" s="470"/>
      <c r="Q1" s="470"/>
      <c r="R1" s="470"/>
      <c r="S1" s="470"/>
      <c r="T1" s="468"/>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2" t="str">
        <f>IF(Roster!$K$25="Italiano","ABILITÀ",(IF(Roster!$K$25="Español","HABILIDADES",(IF(Roster!$K$25="Deutsch","FERTIGKEITEN",(IF(Roster!$K$25="Français","COMPÉTENCES","SKILLS")))))))</f>
        <v>SKILLS</v>
      </c>
      <c r="I2" s="463"/>
      <c r="J2" s="463"/>
      <c r="K2" s="463"/>
      <c r="L2" s="463"/>
      <c r="M2" s="463"/>
      <c r="N2" s="463"/>
      <c r="O2" s="463"/>
      <c r="P2" s="463"/>
      <c r="Q2" s="463"/>
      <c r="R2" s="464"/>
      <c r="S2" s="278" t="str">
        <f>IF(Roster!$K$25="Italiano","COSTO",(IF(Roster!$K$25="Español","PRECIO",(IF(Roster!$K$25="Deutsch","WERT",(IF(Roster!$K$25="Français","VALEUR","COST")))))))</f>
        <v>COST</v>
      </c>
      <c r="T2" s="468"/>
      <c r="V2" s="228" t="s">
        <v>261</v>
      </c>
      <c r="W2" s="229" t="s">
        <v>206</v>
      </c>
      <c r="X2" s="230"/>
      <c r="Y2" s="228" t="s">
        <v>1266</v>
      </c>
      <c r="Z2" s="231"/>
      <c r="AA2" s="231"/>
      <c r="AB2" s="229"/>
      <c r="AC2" s="230"/>
      <c r="AD2" s="230"/>
      <c r="AE2" s="230"/>
      <c r="AF2" s="228" t="s">
        <v>1271</v>
      </c>
      <c r="AG2" s="231"/>
      <c r="AH2" s="231"/>
      <c r="AI2" s="229"/>
      <c r="AK2" s="459" t="s">
        <v>1311</v>
      </c>
      <c r="AL2" s="460"/>
      <c r="AM2" s="460"/>
      <c r="AN2" s="460"/>
      <c r="AO2" s="461"/>
      <c r="AP2" s="459" t="s">
        <v>1312</v>
      </c>
      <c r="AQ2" s="460"/>
      <c r="AR2" s="460"/>
      <c r="AS2" s="460"/>
      <c r="AT2" s="461"/>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303" t="str">
        <f>Y3&amp;(IF(Z3&lt;&gt;"",", ",""))&amp;Z3&amp;(IF(AA3&lt;&gt;"",", ",""))&amp;AA3&amp;(IF(AB3&lt;&gt;"",", ",""))&amp;AB3&amp;(IF(AF3&lt;&gt;"",", ",""))&amp;AF3&amp;(IF(AG3&lt;&gt;"",", ",""))&amp;AG3&amp;(IF(AH3&lt;&gt;"",", ",""))&amp;AH3&amp;(IF(AI3&lt;&gt;"",", ",""))&amp;AI3&amp;AK8</f>
        <v/>
      </c>
      <c r="I3" s="304"/>
      <c r="J3" s="304"/>
      <c r="K3" s="304"/>
      <c r="L3" s="304"/>
      <c r="M3" s="304"/>
      <c r="N3" s="304"/>
      <c r="O3" s="304"/>
      <c r="P3" s="304"/>
      <c r="Q3" s="304"/>
      <c r="R3" s="305"/>
      <c r="S3" s="279">
        <f>(VLOOKUP(B3,Y5:AI10,11,FALSE))+W12</f>
        <v>0</v>
      </c>
      <c r="T3" s="468"/>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69" t="str">
        <f>IF(J40="Italiano","AVANZAMIENTO GIOCATORI",(IF(J40="Español","MEJORAS DEL JUGADORE",(IF(J40="Deutsch","SPIELERVERBESSERUNGEN",(IF(J40="Français","AMÉLIORATIONS DE JOUEUR","PLAYER UPGRADES")))))))</f>
        <v>PLAYER UPGRADES</v>
      </c>
      <c r="B4" s="469"/>
      <c r="C4" s="469"/>
      <c r="D4" s="469"/>
      <c r="E4" s="469"/>
      <c r="F4" s="469"/>
      <c r="G4" s="469"/>
      <c r="H4" s="469"/>
      <c r="I4" s="469"/>
      <c r="J4" s="469"/>
      <c r="K4" s="469"/>
      <c r="L4" s="469"/>
      <c r="M4" s="469"/>
      <c r="N4" s="469"/>
      <c r="O4" s="469"/>
      <c r="P4" s="469"/>
      <c r="Q4" s="469"/>
      <c r="R4" s="469"/>
      <c r="S4" s="469"/>
      <c r="T4" s="468"/>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2" t="s">
        <v>1263</v>
      </c>
      <c r="B5" s="463"/>
      <c r="C5" s="463"/>
      <c r="D5" s="463"/>
      <c r="E5" s="463"/>
      <c r="F5" s="463"/>
      <c r="G5" s="463"/>
      <c r="H5" s="464"/>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68"/>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5"/>
      <c r="B6" s="466"/>
      <c r="C6" s="466"/>
      <c r="D6" s="466"/>
      <c r="E6" s="466"/>
      <c r="F6" s="466"/>
      <c r="G6" s="466"/>
      <c r="H6" s="467"/>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68"/>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55" t="str">
        <f>IF($J$40="Italiano","AVANZAMENTO 2",(IF($J$40="Español","MEJORA 2",(IF($J$40="Deutsch","VERBES-SERUNG 2",(IF($J$40="Français","AMÉLIORATION 2","UPGRADE 2")))))))</f>
        <v>UPGRADE 2</v>
      </c>
      <c r="E7" s="456"/>
      <c r="F7" s="283" t="str">
        <f>IF(Roster!$K$25="Italiano","COSTO",(IF(Roster!$K$25="Español","PRECIO",(IF(Roster!$K$25="Deutsch","WERT",(IF(Roster!$K$25="Français","VALEUR","COST")))))))</f>
        <v>COST</v>
      </c>
      <c r="G7" s="455" t="str">
        <f>IF($J$40="Italiano","AVANZAMENTO 3",(IF($J$40="Español","MEJORA 3",(IF($J$40="Deutsch","VERBES-SERUNG 3",(IF($J$40="Français","AMÉLIORATION 3","UPGRADE 3")))))))</f>
        <v>UPGRADE 3</v>
      </c>
      <c r="H7" s="456"/>
      <c r="I7" s="278" t="str">
        <f>IF(Roster!$K$25="Italiano","COSTO",(IF(Roster!$K$25="Español","PRECIO",(IF(Roster!$K$25="Deutsch","WERT",(IF(Roster!$K$25="Français","VALEUR","COST")))))))</f>
        <v>COST</v>
      </c>
      <c r="J7" s="455" t="str">
        <f>IF($J$40="Italiano","AVANZAMENTO 4",(IF($J$40="Español","MEJORA 4",(IF($J$40="Deutsch","VERBES-SERUNG 4",(IF($J$40="Français","AMÉLIORATION 4","UPGRADE 4")))))))</f>
        <v>UPGRADE 4</v>
      </c>
      <c r="K7" s="456"/>
      <c r="L7" s="278" t="str">
        <f>IF(Roster!$K$25="Italiano","COSTO",(IF(Roster!$K$25="Español","PRECIO",(IF(Roster!$K$25="Deutsch","WERT",(IF(Roster!$K$25="Français","VALEUR","COST")))))))</f>
        <v>COST</v>
      </c>
      <c r="M7" s="455" t="str">
        <f>IF($J$40="Italiano","AVANZAMENTO 5",(IF($J$40="Español","MEJORA 5",(IF($J$40="Deutsch","VERBES-SERUNG 5",(IF($J$40="Français","AMÉLIORATION 5","UPGRADE 5")))))))</f>
        <v>UPGRADE 5</v>
      </c>
      <c r="N7" s="456"/>
      <c r="O7" s="278" t="str">
        <f>IF(Roster!$K$25="Italiano","COSTO",(IF(Roster!$K$25="Español","PRECIO",(IF(Roster!$K$25="Deutsch","WERT",(IF(Roster!$K$25="Français","VALEUR","COST")))))))</f>
        <v>COST</v>
      </c>
      <c r="P7" s="455" t="str">
        <f>IF($J$40="Italiano","AVANZAMENTO 6",(IF($J$40="Español","MEJORA 6",(IF($J$40="Deutsch","VERBES-SERUNG 6",(IF($J$40="Français","AMÉLIORATION 6","UPGRADE 6")))))))</f>
        <v>UPGRADE 6</v>
      </c>
      <c r="Q7" s="456"/>
      <c r="R7" s="278" t="str">
        <f>IF(Roster!$K$25="Italiano","COSTO",(IF(Roster!$K$25="Español","PRECIO",(IF(Roster!$K$25="Deutsch","WERT",(IF(Roster!$K$25="Français","VALEUR","COST")))))))</f>
        <v>COST</v>
      </c>
      <c r="S7" s="278" t="s">
        <v>1264</v>
      </c>
      <c r="T7" s="468"/>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3"/>
      <c r="E8" s="454"/>
      <c r="F8" s="280" t="str">
        <f>IF(B3&lt;&gt;"Legendary Linemen","ILEGAL",(IF(D8&lt;&gt;"",50000,0)))</f>
        <v>ILEGAL</v>
      </c>
      <c r="G8" s="453"/>
      <c r="H8" s="454"/>
      <c r="I8" s="280" t="str">
        <f>IF(B3&lt;&gt;"Legendary Linemen","ILEGAL",(IF(G8&lt;&gt;"",80000,0)))</f>
        <v>ILEGAL</v>
      </c>
      <c r="J8" s="453"/>
      <c r="K8" s="454"/>
      <c r="L8" s="280" t="str">
        <f>IF(B3&lt;&gt;"Legendary Linemen","ILEGAL",(IF(J8&lt;&gt;"",110000,0)))</f>
        <v>ILEGAL</v>
      </c>
      <c r="M8" s="453"/>
      <c r="N8" s="454"/>
      <c r="O8" s="280" t="str">
        <f>IF(B3&lt;&gt;"Legendary Linemen","ILEGAL",(IF(M8&lt;&gt;"",140000,0)))</f>
        <v>ILEGAL</v>
      </c>
      <c r="P8" s="453"/>
      <c r="Q8" s="454"/>
      <c r="R8" s="280" t="str">
        <f>IF(B3&lt;&gt;"Legendary Linemen","ILEGAL",(IF(P8&lt;&gt;"",170000,0)))</f>
        <v>ILEGAL</v>
      </c>
      <c r="S8" s="280">
        <f>SUM(C8,F8,I8,L8,O8,R8)</f>
        <v>0</v>
      </c>
      <c r="T8" s="468"/>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3"/>
      <c r="E9" s="454"/>
      <c r="F9" s="280" t="str">
        <f>IF($B$3&lt;&gt;"Brutal Blockers",(IF($B$3&lt;&gt;"Bona Fide Big Guy","ILEGAL",(IF(D9&lt;&gt;"",70000,0)))),(IF(D9&lt;&gt;"",70000,0)))</f>
        <v>ILEGAL</v>
      </c>
      <c r="G9" s="453"/>
      <c r="H9" s="454"/>
      <c r="I9" s="280" t="str">
        <f>IF($B$3&lt;&gt;"Brutal Blockers",(IF($B$3&lt;&gt;"Bona Fide Big Guy","ILEGAL",(IF(G9&lt;&gt;"",110000,0)))),(IF(G9&lt;&gt;"",110000,0)))</f>
        <v>ILEGAL</v>
      </c>
      <c r="J9" s="453"/>
      <c r="K9" s="454"/>
      <c r="L9" s="280" t="str">
        <f>IF($B$3&lt;&gt;"Brutal Blockers",(IF($B$3&lt;&gt;"Bona Fide Big Guy","ILEGAL",(IF(J9&lt;&gt;"",150000,0)))),(IF(J9&lt;&gt;"",150000,0)))</f>
        <v>ILEGAL</v>
      </c>
      <c r="M9" s="453"/>
      <c r="N9" s="454"/>
      <c r="O9" s="280" t="str">
        <f>IF($B$3&lt;&gt;"Brutal Blockers",(IF($B$3&lt;&gt;"Bona Fide Big Guy","ILEGAL",(IF(M9&lt;&gt;"",190000,0)))),(IF(M9&lt;&gt;"",190000,0)))</f>
        <v>ILEGAL</v>
      </c>
      <c r="P9" s="453"/>
      <c r="Q9" s="454"/>
      <c r="R9" s="280" t="str">
        <f>IF($B$3&lt;&gt;"Brutal Blockers",(IF($B$3&lt;&gt;"Bona Fide Big Guy","ILEGAL",(IF(P9&lt;&gt;"",230000,0)))),(IF(P9&lt;&gt;"",230000,0)))</f>
        <v>ILEGAL</v>
      </c>
      <c r="S9" s="280">
        <f>SUM(C9,F9,I9,L9,O9,R9)</f>
        <v>0</v>
      </c>
      <c r="T9" s="468"/>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3"/>
      <c r="E10" s="454"/>
      <c r="F10" s="280" t="str">
        <f>IF($B$3&lt;&gt;"Stunty Superstar",(IF($B$3&lt;&gt;"Reliable Ringers","ILEGAL",(IF(D10&lt;&gt;"",70000,0)))),(IF(D10&lt;&gt;"",30000,0)))</f>
        <v>ILEGAL</v>
      </c>
      <c r="G10" s="453"/>
      <c r="H10" s="454"/>
      <c r="I10" s="280" t="str">
        <f>IF($B$3&lt;&gt;"Stunty Superstar",(IF($B$3&lt;&gt;"Reliable Ringers","ILEGAL",(IF(G10&lt;&gt;"",110000,0)))),(IF(G10&lt;&gt;"",50000,0)))</f>
        <v>ILEGAL</v>
      </c>
      <c r="J10" s="453"/>
      <c r="K10" s="454"/>
      <c r="L10" s="280" t="str">
        <f>IF($B$3&lt;&gt;"Stunty Superstar",(IF($B$3&lt;&gt;"Reliable Ringers","ILEGAL",(IF(J10&lt;&gt;"",150000,0)))),(IF(J10&lt;&gt;"",70000,0)))</f>
        <v>ILEGAL</v>
      </c>
      <c r="M10" s="453"/>
      <c r="N10" s="454"/>
      <c r="O10" s="280" t="str">
        <f>IF($B$3&lt;&gt;"Stunty Superstar",(IF($B$3&lt;&gt;"Reliable Ringers","ILEGAL",(IF(M10&lt;&gt;"",190000,0)))),(IF(M10&lt;&gt;"",90000,0)))</f>
        <v>ILEGAL</v>
      </c>
      <c r="P10" s="453"/>
      <c r="Q10" s="454"/>
      <c r="R10" s="280" t="str">
        <f>IF($B$3&lt;&gt;"Stunty Superstar",(IF($B$3&lt;&gt;"Reliable Ringers","ILEGAL",(IF(P10&lt;&gt;"",230000,0)))),(IF(P10&lt;&gt;"",110000,0)))</f>
        <v>ILEGAL</v>
      </c>
      <c r="S10" s="280">
        <f>SUM(C10,F10,I10,L10,O10,R10)</f>
        <v>0</v>
      </c>
      <c r="T10" s="468"/>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3"/>
      <c r="E11" s="454"/>
      <c r="F11" s="280" t="s">
        <v>1262</v>
      </c>
      <c r="G11" s="453"/>
      <c r="H11" s="454"/>
      <c r="I11" s="280" t="s">
        <v>1262</v>
      </c>
      <c r="J11" s="453"/>
      <c r="K11" s="454"/>
      <c r="L11" s="280" t="s">
        <v>1262</v>
      </c>
      <c r="M11" s="453"/>
      <c r="N11" s="454"/>
      <c r="O11" s="280" t="s">
        <v>1262</v>
      </c>
      <c r="P11" s="453"/>
      <c r="Q11" s="454"/>
      <c r="R11" s="280" t="s">
        <v>1262</v>
      </c>
      <c r="S11" s="280">
        <f>SUM(C11,F11,I11,L11,O11,R11)</f>
        <v>0</v>
      </c>
      <c r="T11" s="468"/>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3"/>
      <c r="E12" s="454"/>
      <c r="F12" s="280" t="str">
        <f>IF(B3="Reliable Ringers","ILEGAL",IF(OR($B$3="Stunty Superstar",$B$3="Brutal Blockers",$B$3="Bona Fide Big Guy",$B$3="Mercenaries"),"ILEGAL",(IF(D12&lt;&gt;"",(IF($B$3="Legendary Linemen",70000,(IF(D12="Big Hand",30000,(IF(D12="Extra Arms",20000,(IF(D12="Two Heads",30000,(IF(D12="Very Long Legs",30000,"ILEGAL")))))))))),0))))</f>
        <v>ILEGAL</v>
      </c>
      <c r="G12" s="453"/>
      <c r="H12" s="454"/>
      <c r="I12" s="280" t="str">
        <f>IF(B3="Reliable Ringers","ILEGAL",IF(OR($B$3="Stunty Superstar",$B$3="Brutal Blockers",$B$3="Bona Fide Big Guy",$B$3="Mercenaries"),"ILEGAL",(IF(G12&lt;&gt;"",(IF($B$3="Legendary Linemen",110000,(IF(G12="Big Hand",30000,(IF(G12="Extra Arms",20000,(IF(G12="Two Heads",30000,(IF(G12="Very Long Legs",30000,0)))))))))),0))))</f>
        <v>ILEGAL</v>
      </c>
      <c r="J12" s="453"/>
      <c r="K12" s="454"/>
      <c r="L12" s="280" t="str">
        <f>IF(B3="Reliable Ringers","ILEGAL",IF(OR($B$3="Stunty Superstar",$B$3="Brutal Blockers",$B$3="Bona Fide Big Guy",$B$3="Mercenaries"),"ILEGAL",(IF(J12&lt;&gt;"",(IF($B$3="Legendary Linemen",150000,(IF(J12="Big Hand",30000,(IF(J12="Extra Arms",20000,(IF(J12="Two Heads",30000,(IF(J12="Very Long Legs",30000,0)))))))))),0))))</f>
        <v>ILEGAL</v>
      </c>
      <c r="M12" s="453"/>
      <c r="N12" s="454"/>
      <c r="O12" s="280" t="str">
        <f>IF(B3&lt;&gt;"Legendary Linemen","ILEGAL",(IF(M12&lt;&gt;"",190000,0)))</f>
        <v>ILEGAL</v>
      </c>
      <c r="P12" s="453"/>
      <c r="Q12" s="454"/>
      <c r="R12" s="280" t="str">
        <f>IF(B3&lt;&gt;"Legendary Linemen","ILEGAL",(IF(P12&lt;&gt;"",230000,0)))</f>
        <v>ILEGAL</v>
      </c>
      <c r="S12" s="280">
        <f>SUM(C12,F12,I12,L12,O12,R12)</f>
        <v>0</v>
      </c>
      <c r="T12" s="468"/>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68"/>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0" t="str">
        <f>IF(Roster!$K$25="Italiano","MERCENARIO 2",(IF(Roster!$K$25="Español","MERCENARIO 2",(IF(Roster!$K$25="Français","MERCENAIRE 2","MERCENARY 2")))))</f>
        <v>MERCENARY 2</v>
      </c>
      <c r="B14" s="470"/>
      <c r="C14" s="470"/>
      <c r="D14" s="470"/>
      <c r="E14" s="470"/>
      <c r="F14" s="470"/>
      <c r="G14" s="470"/>
      <c r="H14" s="470"/>
      <c r="I14" s="470"/>
      <c r="J14" s="470"/>
      <c r="K14" s="470"/>
      <c r="L14" s="470"/>
      <c r="M14" s="470"/>
      <c r="N14" s="470"/>
      <c r="O14" s="470"/>
      <c r="P14" s="470"/>
      <c r="Q14" s="470"/>
      <c r="R14" s="470"/>
      <c r="S14" s="470"/>
      <c r="T14" s="468"/>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2" t="str">
        <f>IF(Roster!$K$25="Italiano","ABILITÀ",(IF(Roster!$K$25="Español","HABILIDADES",(IF(Roster!$K$25="Deutsch","FERTIGKEITEN",(IF(Roster!$K$25="Français","COMPÉTENCES","SKILLS")))))))</f>
        <v>SKILLS</v>
      </c>
      <c r="I15" s="463"/>
      <c r="J15" s="463"/>
      <c r="K15" s="463"/>
      <c r="L15" s="463"/>
      <c r="M15" s="463"/>
      <c r="N15" s="463"/>
      <c r="O15" s="463"/>
      <c r="P15" s="463"/>
      <c r="Q15" s="463"/>
      <c r="R15" s="464"/>
      <c r="S15" s="278" t="str">
        <f>IF(Roster!$K$25="Italiano","COSTO",(IF(Roster!$K$25="Español","PRECIO",(IF(Roster!$K$25="Deutsch","WERT",(IF(Roster!$K$25="Français","VALEUR","COST")))))))</f>
        <v>COST</v>
      </c>
      <c r="T15" s="468"/>
      <c r="V15" s="228" t="s">
        <v>261</v>
      </c>
      <c r="W15" s="229" t="s">
        <v>206</v>
      </c>
      <c r="X15" s="230"/>
      <c r="Y15" s="228" t="s">
        <v>1266</v>
      </c>
      <c r="Z15" s="231"/>
      <c r="AA15" s="231"/>
      <c r="AB15" s="229"/>
      <c r="AC15" s="230"/>
      <c r="AD15" s="230"/>
      <c r="AE15" s="230"/>
      <c r="AF15" s="228" t="s">
        <v>1271</v>
      </c>
      <c r="AG15" s="231"/>
      <c r="AH15" s="231"/>
      <c r="AI15" s="229"/>
      <c r="AK15" s="459" t="s">
        <v>1311</v>
      </c>
      <c r="AL15" s="460"/>
      <c r="AM15" s="460"/>
      <c r="AN15" s="460"/>
      <c r="AO15" s="461"/>
      <c r="AP15" s="459" t="s">
        <v>1312</v>
      </c>
      <c r="AQ15" s="460"/>
      <c r="AR15" s="460"/>
      <c r="AS15" s="460"/>
      <c r="AT15" s="461"/>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303" t="str">
        <f>Y16&amp;(IF(Z16&lt;&gt;"",", ",""))&amp;Z16&amp;(IF(AA16&lt;&gt;"",", ",""))&amp;AA16&amp;(IF(AB16&lt;&gt;"",", ",""))&amp;AB16&amp;(IF(AF16&lt;&gt;"",", ",""))&amp;AF16&amp;(IF(AG16&lt;&gt;"",", ",""))&amp;AG16&amp;(IF(AH16&lt;&gt;"",", ",""))&amp;AH16&amp;(IF(AI16&lt;&gt;"",", ",""))&amp;AI16&amp;AK21</f>
        <v/>
      </c>
      <c r="I16" s="304"/>
      <c r="J16" s="304"/>
      <c r="K16" s="304"/>
      <c r="L16" s="304"/>
      <c r="M16" s="304"/>
      <c r="N16" s="304"/>
      <c r="O16" s="304"/>
      <c r="P16" s="304"/>
      <c r="Q16" s="304"/>
      <c r="R16" s="305"/>
      <c r="S16" s="279">
        <f>(VLOOKUP(B16,Y18:AI23,11,FALSE))+W25</f>
        <v>0</v>
      </c>
      <c r="T16" s="468"/>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69" t="str">
        <f>IF(AR3="Italiano","AVANZAMIENTO GIOCATORI",(IF(AR3="Español","MEJORAS DEL JUGADORE",(IF(AR3="Deutsch","SPIELERVERBESSERUNGEN",(IF(AR3="Français","AMÉLIORATIONS DE JOUEUR","PLAYER UPGRADES")))))))</f>
        <v>PLAYER UPGRADES</v>
      </c>
      <c r="B17" s="469"/>
      <c r="C17" s="469"/>
      <c r="D17" s="469"/>
      <c r="E17" s="469"/>
      <c r="F17" s="469"/>
      <c r="G17" s="469"/>
      <c r="H17" s="469"/>
      <c r="I17" s="469"/>
      <c r="J17" s="469"/>
      <c r="K17" s="469"/>
      <c r="L17" s="469"/>
      <c r="M17" s="469"/>
      <c r="N17" s="469"/>
      <c r="O17" s="469"/>
      <c r="P17" s="469"/>
      <c r="Q17" s="469"/>
      <c r="R17" s="469"/>
      <c r="S17" s="469"/>
      <c r="T17" s="468"/>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2" t="s">
        <v>1263</v>
      </c>
      <c r="B18" s="463"/>
      <c r="C18" s="463"/>
      <c r="D18" s="463"/>
      <c r="E18" s="463"/>
      <c r="F18" s="463"/>
      <c r="G18" s="463"/>
      <c r="H18" s="464"/>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68"/>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5"/>
      <c r="B19" s="466"/>
      <c r="C19" s="466"/>
      <c r="D19" s="466"/>
      <c r="E19" s="466"/>
      <c r="F19" s="466"/>
      <c r="G19" s="466"/>
      <c r="H19" s="467"/>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68"/>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55" t="str">
        <f>IF($J$40="Italiano","AVANZAMENTO 2",(IF($J$40="Español","MEJORA 2",(IF($J$40="Deutsch","VERBES-SERUNG 2",(IF($J$40="Français","AMÉLIORATION 2","UPGRADE 2")))))))</f>
        <v>UPGRADE 2</v>
      </c>
      <c r="E20" s="456"/>
      <c r="F20" s="283" t="str">
        <f>IF(Roster!$K$25="Italiano","COSTO",(IF(Roster!$K$25="Español","PRECIO",(IF(Roster!$K$25="Deutsch","WERT",(IF(Roster!$K$25="Français","VALEUR","COST")))))))</f>
        <v>COST</v>
      </c>
      <c r="G20" s="455" t="str">
        <f>IF($J$40="Italiano","AVANZAMENTO 3",(IF($J$40="Español","MEJORA 3",(IF($J$40="Deutsch","VERBES-SERUNG 3",(IF($J$40="Français","AMÉLIORATION 3","UPGRADE 3")))))))</f>
        <v>UPGRADE 3</v>
      </c>
      <c r="H20" s="456"/>
      <c r="I20" s="278" t="str">
        <f>IF(Roster!$K$25="Italiano","COSTO",(IF(Roster!$K$25="Español","PRECIO",(IF(Roster!$K$25="Deutsch","WERT",(IF(Roster!$K$25="Français","VALEUR","COST")))))))</f>
        <v>COST</v>
      </c>
      <c r="J20" s="455" t="str">
        <f>IF($J$40="Italiano","AVANZAMENTO 4",(IF($J$40="Español","MEJORA 4",(IF($J$40="Deutsch","VERBES-SERUNG 4",(IF($J$40="Français","AMÉLIORATION 4","UPGRADE 4")))))))</f>
        <v>UPGRADE 4</v>
      </c>
      <c r="K20" s="456"/>
      <c r="L20" s="278" t="str">
        <f>IF(Roster!$K$25="Italiano","COSTO",(IF(Roster!$K$25="Español","PRECIO",(IF(Roster!$K$25="Deutsch","WERT",(IF(Roster!$K$25="Français","VALEUR","COST")))))))</f>
        <v>COST</v>
      </c>
      <c r="M20" s="455" t="str">
        <f>IF($J$40="Italiano","AVANZAMENTO 5",(IF($J$40="Español","MEJORA 5",(IF($J$40="Deutsch","VERBES-SERUNG 5",(IF($J$40="Français","AMÉLIORATION 5","UPGRADE 5")))))))</f>
        <v>UPGRADE 5</v>
      </c>
      <c r="N20" s="456"/>
      <c r="O20" s="278" t="str">
        <f>IF(Roster!$K$25="Italiano","COSTO",(IF(Roster!$K$25="Español","PRECIO",(IF(Roster!$K$25="Deutsch","WERT",(IF(Roster!$K$25="Français","VALEUR","COST")))))))</f>
        <v>COST</v>
      </c>
      <c r="P20" s="455" t="str">
        <f>IF($J$40="Italiano","AVANZAMENTO 6",(IF($J$40="Español","MEJORA 6",(IF($J$40="Deutsch","VERBES-SERUNG 6",(IF($J$40="Français","AMÉLIORATION 6","UPGRADE 6")))))))</f>
        <v>UPGRADE 6</v>
      </c>
      <c r="Q20" s="456"/>
      <c r="R20" s="278" t="str">
        <f>IF(Roster!$K$25="Italiano","COSTO",(IF(Roster!$K$25="Español","PRECIO",(IF(Roster!$K$25="Deutsch","WERT",(IF(Roster!$K$25="Français","VALEUR","COST")))))))</f>
        <v>COST</v>
      </c>
      <c r="S20" s="278" t="s">
        <v>1264</v>
      </c>
      <c r="T20" s="468"/>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3"/>
      <c r="E21" s="454"/>
      <c r="F21" s="280" t="str">
        <f>IF(B16&lt;&gt;"Legendary Linemen","ILEGAL",(IF(D21&lt;&gt;"",50000,0)))</f>
        <v>ILEGAL</v>
      </c>
      <c r="G21" s="453"/>
      <c r="H21" s="454"/>
      <c r="I21" s="280" t="str">
        <f>IF(B16&lt;&gt;"Legendary Linemen","ILEGAL",(IF(G21&lt;&gt;"",80000,0)))</f>
        <v>ILEGAL</v>
      </c>
      <c r="J21" s="453"/>
      <c r="K21" s="454"/>
      <c r="L21" s="280" t="str">
        <f>IF(B16&lt;&gt;"Legendary Linemen","ILEGAL",(IF(J21&lt;&gt;"",110000,0)))</f>
        <v>ILEGAL</v>
      </c>
      <c r="M21" s="453"/>
      <c r="N21" s="454"/>
      <c r="O21" s="280" t="str">
        <f>IF(B16&lt;&gt;"Legendary Linemen","ILEGAL",(IF(M21&lt;&gt;"",140000,0)))</f>
        <v>ILEGAL</v>
      </c>
      <c r="P21" s="453"/>
      <c r="Q21" s="454"/>
      <c r="R21" s="280" t="str">
        <f>IF(B16&lt;&gt;"Legendary Linemen","ILEGAL",(IF(P21&lt;&gt;"",170000,0)))</f>
        <v>ILEGAL</v>
      </c>
      <c r="S21" s="280">
        <f>SUM(C21,F21,I21,L21,O21,R21)</f>
        <v>0</v>
      </c>
      <c r="T21" s="468"/>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3"/>
      <c r="E22" s="454"/>
      <c r="F22" s="280" t="str">
        <f>IF($B$3&lt;&gt;"Brutal Blockers",(IF($B$3&lt;&gt;"Bona Fide Big Guy","ILEGAL",(IF(D22&lt;&gt;"",70000,0)))),(IF(D22&lt;&gt;"",70000,0)))</f>
        <v>ILEGAL</v>
      </c>
      <c r="G22" s="453"/>
      <c r="H22" s="454"/>
      <c r="I22" s="280" t="str">
        <f>IF($B$3&lt;&gt;"Brutal Blockers",(IF($B$3&lt;&gt;"Bona Fide Big Guy","ILEGAL",(IF(G22&lt;&gt;"",110000,0)))),(IF(G22&lt;&gt;"",110000,0)))</f>
        <v>ILEGAL</v>
      </c>
      <c r="J22" s="453"/>
      <c r="K22" s="454"/>
      <c r="L22" s="280" t="str">
        <f>IF($B$3&lt;&gt;"Brutal Blockers",(IF($B$3&lt;&gt;"Bona Fide Big Guy","ILEGAL",(IF(J22&lt;&gt;"",150000,0)))),(IF(J22&lt;&gt;"",150000,0)))</f>
        <v>ILEGAL</v>
      </c>
      <c r="M22" s="453"/>
      <c r="N22" s="454"/>
      <c r="O22" s="280" t="str">
        <f>IF($B$3&lt;&gt;"Brutal Blockers",(IF($B$3&lt;&gt;"Bona Fide Big Guy","ILEGAL",(IF(M22&lt;&gt;"",190000,0)))),(IF(M22&lt;&gt;"",190000,0)))</f>
        <v>ILEGAL</v>
      </c>
      <c r="P22" s="453"/>
      <c r="Q22" s="454"/>
      <c r="R22" s="280" t="str">
        <f>IF($B$3&lt;&gt;"Brutal Blockers",(IF($B$3&lt;&gt;"Bona Fide Big Guy","ILEGAL",(IF(P22&lt;&gt;"",230000,0)))),(IF(P22&lt;&gt;"",230000,0)))</f>
        <v>ILEGAL</v>
      </c>
      <c r="S22" s="280">
        <f t="shared" ref="S22:S25" si="2">SUM(C22,F22,I22,L22,O22,R22)</f>
        <v>0</v>
      </c>
      <c r="T22" s="468"/>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3"/>
      <c r="E23" s="454"/>
      <c r="F23" s="280" t="str">
        <f>IF($B$3&lt;&gt;"Stunty Superstar",(IF($B$3&lt;&gt;"Reliable Ringers","ILEGAL",(IF(D23&lt;&gt;"",70000,0)))),(IF(D23&lt;&gt;"",30000,0)))</f>
        <v>ILEGAL</v>
      </c>
      <c r="G23" s="453"/>
      <c r="H23" s="454"/>
      <c r="I23" s="280" t="str">
        <f>IF($B$3&lt;&gt;"Stunty Superstar",(IF($B$3&lt;&gt;"Reliable Ringers","ILEGAL",(IF(G23&lt;&gt;"",110000,0)))),(IF(G23&lt;&gt;"",50000,0)))</f>
        <v>ILEGAL</v>
      </c>
      <c r="J23" s="453"/>
      <c r="K23" s="454"/>
      <c r="L23" s="280" t="str">
        <f>IF($B$3&lt;&gt;"Stunty Superstar",(IF($B$3&lt;&gt;"Reliable Ringers","ILEGAL",(IF(J23&lt;&gt;"",150000,0)))),(IF(J23&lt;&gt;"",70000,0)))</f>
        <v>ILEGAL</v>
      </c>
      <c r="M23" s="453"/>
      <c r="N23" s="454"/>
      <c r="O23" s="280" t="str">
        <f>IF($B$3&lt;&gt;"Stunty Superstar",(IF($B$3&lt;&gt;"Reliable Ringers","ILEGAL",(IF(M23&lt;&gt;"",190000,0)))),(IF(M23&lt;&gt;"",90000,0)))</f>
        <v>ILEGAL</v>
      </c>
      <c r="P23" s="453"/>
      <c r="Q23" s="454"/>
      <c r="R23" s="280" t="str">
        <f>IF($B$3&lt;&gt;"Stunty Superstar",(IF($B$3&lt;&gt;"Reliable Ringers","ILEGAL",(IF(P23&lt;&gt;"",230000,0)))),(IF(P23&lt;&gt;"",110000,0)))</f>
        <v>ILEGAL</v>
      </c>
      <c r="S23" s="280">
        <f t="shared" si="2"/>
        <v>0</v>
      </c>
      <c r="T23" s="468"/>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3"/>
      <c r="E24" s="454"/>
      <c r="F24" s="280" t="s">
        <v>1262</v>
      </c>
      <c r="G24" s="453"/>
      <c r="H24" s="454"/>
      <c r="I24" s="280" t="s">
        <v>1262</v>
      </c>
      <c r="J24" s="453"/>
      <c r="K24" s="454"/>
      <c r="L24" s="280" t="s">
        <v>1262</v>
      </c>
      <c r="M24" s="453"/>
      <c r="N24" s="454"/>
      <c r="O24" s="280" t="s">
        <v>1262</v>
      </c>
      <c r="P24" s="453"/>
      <c r="Q24" s="454"/>
      <c r="R24" s="280" t="s">
        <v>1262</v>
      </c>
      <c r="S24" s="280">
        <f t="shared" si="2"/>
        <v>0</v>
      </c>
      <c r="T24" s="468"/>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3"/>
      <c r="E25" s="454"/>
      <c r="F25" s="280" t="str">
        <f>IF(B3="Reliable Ringers","ILEGAL",IF(OR($B$3="Stunty Superstar",$B$3="Brutal Blockers",$B$3="Bona Fide Big Guy",$B$3="Mercenaries"),"ILEGAL",(IF(D25&lt;&gt;"",(IF($B$3="Legendary Linemen",70000,(IF(D25="Big Hand",30000,(IF(D25="Extra Arms",20000,(IF(D25="Two Heads",30000,(IF(D25="Very Long Legs",30000,"ILEGAL")))))))))),0))))</f>
        <v>ILEGAL</v>
      </c>
      <c r="G25" s="453"/>
      <c r="H25" s="454"/>
      <c r="I25" s="280" t="str">
        <f>IF(B3="Reliable Ringers","ILEGAL",IF(OR($B$3="Stunty Superstar",$B$3="Brutal Blockers",$B$3="Bona Fide Big Guy",$B$3="Mercenaries"),"ILEGAL",(IF(G25&lt;&gt;"",(IF($B$3="Legendary Linemen",110000,(IF(G25="Big Hand",30000,(IF(G25="Extra Arms",20000,(IF(G25="Two Heads",30000,(IF(G25="Very Long Legs",30000,0)))))))))),0))))</f>
        <v>ILEGAL</v>
      </c>
      <c r="J25" s="453"/>
      <c r="K25" s="454"/>
      <c r="L25" s="280" t="str">
        <f>IF(B3="Reliable Ringers","ILEGAL",IF(OR($B$3="Stunty Superstar",$B$3="Brutal Blockers",$B$3="Bona Fide Big Guy",$B$3="Mercenaries"),"ILEGAL",(IF(J25&lt;&gt;"",(IF($B$3="Legendary Linemen",150000,(IF(J25="Big Hand",30000,(IF(J25="Extra Arms",20000,(IF(J25="Two Heads",30000,(IF(J25="Very Long Legs",30000,0)))))))))),0))))</f>
        <v>ILEGAL</v>
      </c>
      <c r="M25" s="453"/>
      <c r="N25" s="454"/>
      <c r="O25" s="280" t="str">
        <f>IF(B16&lt;&gt;"Legendary Linemen","ILEGAL",(IF(M25&lt;&gt;"",190000,0)))</f>
        <v>ILEGAL</v>
      </c>
      <c r="P25" s="453"/>
      <c r="Q25" s="454"/>
      <c r="R25" s="280" t="str">
        <f>IF(B16&lt;&gt;"Legendary Linemen","ILEGAL",(IF(P25&lt;&gt;"",230000,0)))</f>
        <v>ILEGAL</v>
      </c>
      <c r="S25" s="280">
        <f t="shared" si="2"/>
        <v>0</v>
      </c>
      <c r="T25" s="468"/>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68"/>
      <c r="V26" s="238"/>
      <c r="W26" s="238"/>
      <c r="X26" s="238"/>
      <c r="Y26" s="238"/>
      <c r="Z26" s="238"/>
      <c r="AA26" s="238"/>
      <c r="AB26" s="238"/>
      <c r="AC26" s="238"/>
      <c r="AD26" s="238"/>
      <c r="AE26" s="238"/>
      <c r="AF26" s="238"/>
      <c r="AG26" s="238"/>
      <c r="AH26" s="238"/>
      <c r="AI26" s="238"/>
      <c r="AV26" s="247"/>
    </row>
    <row r="27" spans="1:48" ht="21.75" customHeight="1" x14ac:dyDescent="0.2">
      <c r="A27" s="470" t="str">
        <f>IF(Roster!$K$25="Italiano","MERCENARIO 3",(IF(Roster!$K$25="Español","MERCENARIO 3",(IF(Roster!$K$25="Français","MERCENAIRE 3","MERCENARY 3")))))</f>
        <v>MERCENARY 3</v>
      </c>
      <c r="B27" s="470"/>
      <c r="C27" s="470"/>
      <c r="D27" s="470"/>
      <c r="E27" s="470"/>
      <c r="F27" s="470"/>
      <c r="G27" s="470"/>
      <c r="H27" s="470"/>
      <c r="I27" s="470"/>
      <c r="J27" s="470"/>
      <c r="K27" s="470"/>
      <c r="L27" s="470"/>
      <c r="M27" s="470"/>
      <c r="N27" s="470"/>
      <c r="O27" s="470"/>
      <c r="P27" s="470"/>
      <c r="Q27" s="470"/>
      <c r="R27" s="470"/>
      <c r="S27" s="470"/>
      <c r="T27" s="468"/>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2" t="str">
        <f>IF(Roster!$K$25="Italiano","ABILITÀ",(IF(Roster!$K$25="Español","HABILIDADES",(IF(Roster!$K$25="Deutsch","FERTIGKEITEN",(IF(Roster!$K$25="Français","COMPÉTENCES","SKILLS")))))))</f>
        <v>SKILLS</v>
      </c>
      <c r="I28" s="463"/>
      <c r="J28" s="463"/>
      <c r="K28" s="463"/>
      <c r="L28" s="463"/>
      <c r="M28" s="463"/>
      <c r="N28" s="463"/>
      <c r="O28" s="463"/>
      <c r="P28" s="463"/>
      <c r="Q28" s="463"/>
      <c r="R28" s="464"/>
      <c r="S28" s="278" t="str">
        <f>IF(Roster!$K$25="Italiano","COSTO",(IF(Roster!$K$25="Español","PRECIO",(IF(Roster!$K$25="Deutsch","WERT",(IF(Roster!$K$25="Français","VALEUR","COST")))))))</f>
        <v>COST</v>
      </c>
      <c r="T28" s="468"/>
      <c r="V28" s="228" t="s">
        <v>261</v>
      </c>
      <c r="W28" s="229" t="s">
        <v>206</v>
      </c>
      <c r="X28" s="230"/>
      <c r="Y28" s="228" t="s">
        <v>1266</v>
      </c>
      <c r="Z28" s="231"/>
      <c r="AA28" s="231"/>
      <c r="AB28" s="229"/>
      <c r="AC28" s="230"/>
      <c r="AD28" s="230"/>
      <c r="AE28" s="230"/>
      <c r="AF28" s="228" t="s">
        <v>1271</v>
      </c>
      <c r="AG28" s="231"/>
      <c r="AH28" s="231"/>
      <c r="AI28" s="229"/>
      <c r="AK28" s="459" t="s">
        <v>1311</v>
      </c>
      <c r="AL28" s="460"/>
      <c r="AM28" s="460"/>
      <c r="AN28" s="460"/>
      <c r="AO28" s="461"/>
      <c r="AP28" s="459" t="s">
        <v>1312</v>
      </c>
      <c r="AQ28" s="460"/>
      <c r="AR28" s="460"/>
      <c r="AS28" s="460"/>
      <c r="AT28" s="461"/>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303" t="str">
        <f>Y29&amp;(IF(Z29&lt;&gt;"",", ",""))&amp;Z29&amp;(IF(AA29&lt;&gt;"",", ",""))&amp;AA29&amp;(IF(AB29&lt;&gt;"",", ",""))&amp;AB29&amp;(IF(AF29&lt;&gt;"",", ",""))&amp;AF29&amp;(IF(AG29&lt;&gt;"",", ",""))&amp;AG29&amp;(IF(AH29&lt;&gt;"",", ",""))&amp;AH29&amp;(IF(AI29&lt;&gt;"",", ",""))&amp;AI29&amp;AK34</f>
        <v/>
      </c>
      <c r="I29" s="304"/>
      <c r="J29" s="304"/>
      <c r="K29" s="304"/>
      <c r="L29" s="304"/>
      <c r="M29" s="304"/>
      <c r="N29" s="304"/>
      <c r="O29" s="304"/>
      <c r="P29" s="304"/>
      <c r="Q29" s="304"/>
      <c r="R29" s="305"/>
      <c r="S29" s="279">
        <f>(VLOOKUP(B29,Y31:AI36,11,FALSE))+W38</f>
        <v>0</v>
      </c>
      <c r="T29" s="468"/>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69" t="str">
        <f>IF(BC8="Italiano","AVANZAMIENTO GIOCATORI",(IF(BC8="Español","MEJORAS DEL JUGADORE",(IF(BC8="Deutsch","SPIELERVERBESSERUNGEN",(IF(BC8="Français","AMÉLIORATIONS DE JOUEUR","PLAYER UPGRADES")))))))</f>
        <v>PLAYER UPGRADES</v>
      </c>
      <c r="B30" s="469"/>
      <c r="C30" s="469"/>
      <c r="D30" s="469"/>
      <c r="E30" s="469"/>
      <c r="F30" s="469"/>
      <c r="G30" s="469"/>
      <c r="H30" s="469"/>
      <c r="I30" s="469"/>
      <c r="J30" s="469"/>
      <c r="K30" s="469"/>
      <c r="L30" s="469"/>
      <c r="M30" s="469"/>
      <c r="N30" s="469"/>
      <c r="O30" s="469"/>
      <c r="P30" s="469"/>
      <c r="Q30" s="469"/>
      <c r="R30" s="469"/>
      <c r="S30" s="469"/>
      <c r="T30" s="468"/>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2" t="s">
        <v>1263</v>
      </c>
      <c r="B31" s="463"/>
      <c r="C31" s="463"/>
      <c r="D31" s="463"/>
      <c r="E31" s="463"/>
      <c r="F31" s="463"/>
      <c r="G31" s="463"/>
      <c r="H31" s="464"/>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68"/>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5"/>
      <c r="B32" s="466"/>
      <c r="C32" s="466"/>
      <c r="D32" s="466"/>
      <c r="E32" s="466"/>
      <c r="F32" s="466"/>
      <c r="G32" s="466"/>
      <c r="H32" s="467"/>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68"/>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55" t="str">
        <f>IF($J$40="Italiano","AVANZAMENTO 2",(IF($J$40="Español","MEJORA 2",(IF($J$40="Deutsch","VERBES-SERUNG 2",(IF($J$40="Français","AMÉLIORATION 2","UPGRADE 2")))))))</f>
        <v>UPGRADE 2</v>
      </c>
      <c r="E33" s="456"/>
      <c r="F33" s="283" t="str">
        <f>IF(Roster!$K$25="Italiano","COSTO",(IF(Roster!$K$25="Español","PRECIO",(IF(Roster!$K$25="Deutsch","WERT",(IF(Roster!$K$25="Français","VALEUR","COST")))))))</f>
        <v>COST</v>
      </c>
      <c r="G33" s="455" t="str">
        <f>IF($J$40="Italiano","AVANZAMENTO 3",(IF($J$40="Español","MEJORA 3",(IF($J$40="Deutsch","VERBES-SERUNG 3",(IF($J$40="Français","AMÉLIORATION 3","UPGRADE 3")))))))</f>
        <v>UPGRADE 3</v>
      </c>
      <c r="H33" s="456"/>
      <c r="I33" s="278" t="str">
        <f>IF(Roster!$K$25="Italiano","COSTO",(IF(Roster!$K$25="Español","PRECIO",(IF(Roster!$K$25="Deutsch","WERT",(IF(Roster!$K$25="Français","VALEUR","COST")))))))</f>
        <v>COST</v>
      </c>
      <c r="J33" s="455" t="str">
        <f>IF($J$40="Italiano","AVANZAMENTO 4",(IF($J$40="Español","MEJORA 4",(IF($J$40="Deutsch","VERBES-SERUNG 4",(IF($J$40="Français","AMÉLIORATION 4","UPGRADE 4")))))))</f>
        <v>UPGRADE 4</v>
      </c>
      <c r="K33" s="456"/>
      <c r="L33" s="278" t="str">
        <f>IF(Roster!$K$25="Italiano","COSTO",(IF(Roster!$K$25="Español","PRECIO",(IF(Roster!$K$25="Deutsch","WERT",(IF(Roster!$K$25="Français","VALEUR","COST")))))))</f>
        <v>COST</v>
      </c>
      <c r="M33" s="455" t="str">
        <f>IF($J$40="Italiano","AVANZAMENTO 5",(IF($J$40="Español","MEJORA 5",(IF($J$40="Deutsch","VERBES-SERUNG 5",(IF($J$40="Français","AMÉLIORATION 5","UPGRADE 5")))))))</f>
        <v>UPGRADE 5</v>
      </c>
      <c r="N33" s="456"/>
      <c r="O33" s="278" t="str">
        <f>IF(Roster!$K$25="Italiano","COSTO",(IF(Roster!$K$25="Español","PRECIO",(IF(Roster!$K$25="Deutsch","WERT",(IF(Roster!$K$25="Français","VALEUR","COST")))))))</f>
        <v>COST</v>
      </c>
      <c r="P33" s="455" t="str">
        <f>IF($J$40="Italiano","AVANZAMENTO 6",(IF($J$40="Español","MEJORA 6",(IF($J$40="Deutsch","VERBES-SERUNG 6",(IF($J$40="Français","AMÉLIORATION 6","UPGRADE 6")))))))</f>
        <v>UPGRADE 6</v>
      </c>
      <c r="Q33" s="456"/>
      <c r="R33" s="278" t="str">
        <f>IF(Roster!$K$25="Italiano","COSTO",(IF(Roster!$K$25="Español","PRECIO",(IF(Roster!$K$25="Deutsch","WERT",(IF(Roster!$K$25="Français","VALEUR","COST")))))))</f>
        <v>COST</v>
      </c>
      <c r="S33" s="278" t="s">
        <v>1264</v>
      </c>
      <c r="T33" s="468"/>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3"/>
      <c r="E34" s="454"/>
      <c r="F34" s="280" t="str">
        <f>IF(B29&lt;&gt;"Legendary Linemen","ILEGAL",(IF(D34&lt;&gt;"",50000,0)))</f>
        <v>ILEGAL</v>
      </c>
      <c r="G34" s="453"/>
      <c r="H34" s="454"/>
      <c r="I34" s="280" t="str">
        <f>IF(B29&lt;&gt;"Legendary Linemen","ILEGAL",(IF(G34&lt;&gt;"",80000,0)))</f>
        <v>ILEGAL</v>
      </c>
      <c r="J34" s="453"/>
      <c r="K34" s="454"/>
      <c r="L34" s="280" t="str">
        <f>IF(B29&lt;&gt;"Legendary Linemen","ILEGAL",(IF(J34&lt;&gt;"",110000,0)))</f>
        <v>ILEGAL</v>
      </c>
      <c r="M34" s="453"/>
      <c r="N34" s="454"/>
      <c r="O34" s="280" t="str">
        <f>IF(B29&lt;&gt;"Legendary Linemen","ILEGAL",(IF(M34&lt;&gt;"",140000,0)))</f>
        <v>ILEGAL</v>
      </c>
      <c r="P34" s="453"/>
      <c r="Q34" s="454"/>
      <c r="R34" s="280" t="str">
        <f>IF(B29&lt;&gt;"Legendary Linemen","ILEGAL",(IF(P34&lt;&gt;"",170000,0)))</f>
        <v>ILEGAL</v>
      </c>
      <c r="S34" s="280">
        <f>SUM(C34,F34,I34,L34,O34,R34)</f>
        <v>0</v>
      </c>
      <c r="T34" s="468"/>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3"/>
      <c r="E35" s="454"/>
      <c r="F35" s="280" t="str">
        <f>IF($B$3&lt;&gt;"Brutal Blockers",(IF($B$3&lt;&gt;"Bona Fide Big Guy","ILEGAL",(IF(D35&lt;&gt;"",70000,0)))),(IF(D35&lt;&gt;"",70000,0)))</f>
        <v>ILEGAL</v>
      </c>
      <c r="G35" s="453"/>
      <c r="H35" s="454"/>
      <c r="I35" s="280" t="str">
        <f>IF($B$3&lt;&gt;"Brutal Blockers",(IF($B$3&lt;&gt;"Bona Fide Big Guy","ILEGAL",(IF(G35&lt;&gt;"",110000,0)))),(IF(G35&lt;&gt;"",110000,0)))</f>
        <v>ILEGAL</v>
      </c>
      <c r="J35" s="453"/>
      <c r="K35" s="454"/>
      <c r="L35" s="280" t="str">
        <f>IF($B$3&lt;&gt;"Brutal Blockers",(IF($B$3&lt;&gt;"Bona Fide Big Guy","ILEGAL",(IF(J35&lt;&gt;"",150000,0)))),(IF(J35&lt;&gt;"",150000,0)))</f>
        <v>ILEGAL</v>
      </c>
      <c r="M35" s="453"/>
      <c r="N35" s="454"/>
      <c r="O35" s="280" t="str">
        <f>IF($B$3&lt;&gt;"Brutal Blockers",(IF($B$3&lt;&gt;"Bona Fide Big Guy","ILEGAL",(IF(M35&lt;&gt;"",190000,0)))),(IF(M35&lt;&gt;"",190000,0)))</f>
        <v>ILEGAL</v>
      </c>
      <c r="P35" s="453"/>
      <c r="Q35" s="454"/>
      <c r="R35" s="280" t="str">
        <f>IF($B$3&lt;&gt;"Brutal Blockers",(IF($B$3&lt;&gt;"Bona Fide Big Guy","ILEGAL",(IF(P35&lt;&gt;"",230000,0)))),(IF(P35&lt;&gt;"",230000,0)))</f>
        <v>ILEGAL</v>
      </c>
      <c r="S35" s="280">
        <f t="shared" ref="S35:S38" si="4">SUM(C35,F35,I35,L35,O35,R35)</f>
        <v>0</v>
      </c>
      <c r="T35" s="468"/>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3"/>
      <c r="E36" s="454"/>
      <c r="F36" s="280" t="str">
        <f>IF($B$3&lt;&gt;"Stunty Superstar",(IF($B$3&lt;&gt;"Reliable Ringers","ILEGAL",(IF(D36&lt;&gt;"",70000,0)))),(IF(D36&lt;&gt;"",30000,0)))</f>
        <v>ILEGAL</v>
      </c>
      <c r="G36" s="453"/>
      <c r="H36" s="454"/>
      <c r="I36" s="280" t="str">
        <f>IF($B$3&lt;&gt;"Stunty Superstar",(IF($B$3&lt;&gt;"Reliable Ringers","ILEGAL",(IF(G36&lt;&gt;"",110000,0)))),(IF(G36&lt;&gt;"",50000,0)))</f>
        <v>ILEGAL</v>
      </c>
      <c r="J36" s="453"/>
      <c r="K36" s="454"/>
      <c r="L36" s="280" t="str">
        <f>IF($B$3&lt;&gt;"Stunty Superstar",(IF($B$3&lt;&gt;"Reliable Ringers","ILEGAL",(IF(J36&lt;&gt;"",150000,0)))),(IF(J36&lt;&gt;"",70000,0)))</f>
        <v>ILEGAL</v>
      </c>
      <c r="M36" s="453"/>
      <c r="N36" s="454"/>
      <c r="O36" s="280" t="str">
        <f>IF($B$3&lt;&gt;"Stunty Superstar",(IF($B$3&lt;&gt;"Reliable Ringers","ILEGAL",(IF(M36&lt;&gt;"",190000,0)))),(IF(M36&lt;&gt;"",90000,0)))</f>
        <v>ILEGAL</v>
      </c>
      <c r="P36" s="453"/>
      <c r="Q36" s="454"/>
      <c r="R36" s="280" t="str">
        <f>IF($B$3&lt;&gt;"Stunty Superstar",(IF($B$3&lt;&gt;"Reliable Ringers","ILEGAL",(IF(P36&lt;&gt;"",230000,0)))),(IF(P36&lt;&gt;"",110000,0)))</f>
        <v>ILEGAL</v>
      </c>
      <c r="S36" s="280">
        <f t="shared" si="4"/>
        <v>0</v>
      </c>
      <c r="T36" s="468"/>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3"/>
      <c r="E37" s="454"/>
      <c r="F37" s="280" t="s">
        <v>1262</v>
      </c>
      <c r="G37" s="453"/>
      <c r="H37" s="454"/>
      <c r="I37" s="280" t="s">
        <v>1262</v>
      </c>
      <c r="J37" s="453"/>
      <c r="K37" s="454"/>
      <c r="L37" s="280" t="s">
        <v>1262</v>
      </c>
      <c r="M37" s="453"/>
      <c r="N37" s="454"/>
      <c r="O37" s="280" t="s">
        <v>1262</v>
      </c>
      <c r="P37" s="453"/>
      <c r="Q37" s="454"/>
      <c r="R37" s="280" t="s">
        <v>1262</v>
      </c>
      <c r="S37" s="280">
        <f t="shared" si="4"/>
        <v>0</v>
      </c>
      <c r="T37" s="468"/>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3"/>
      <c r="E38" s="454"/>
      <c r="F38" s="280" t="str">
        <f>IF(B3="Reliable Ringers","ILEGAL",IF(OR($B$3="Stunty Superstar",$B$3="Brutal Blockers",$B$3="Bona Fide Big Guy",$B$3="Mercenaries"),"ILEGAL",(IF(D38&lt;&gt;"",(IF($B$3="Legendary Linemen",70000,(IF(D38="Big Hand",30000,(IF(D38="Extra Arms",20000,(IF(D38="Two Heads",30000,(IF(D38="Very Long Legs",30000,"ILEGAL")))))))))),0))))</f>
        <v>ILEGAL</v>
      </c>
      <c r="G38" s="453"/>
      <c r="H38" s="454"/>
      <c r="I38" s="280" t="str">
        <f>IF(B3="Reliable Ringers","ILEGAL",IF(OR($B$3="Stunty Superstar",$B$3="Brutal Blockers",$B$3="Bona Fide Big Guy",$B$3="Mercenaries"),"ILEGAL",(IF(G38&lt;&gt;"",(IF($B$3="Legendary Linemen",110000,(IF(G38="Big Hand",30000,(IF(G38="Extra Arms",20000,(IF(G38="Two Heads",30000,(IF(G38="Very Long Legs",30000,0)))))))))),0))))</f>
        <v>ILEGAL</v>
      </c>
      <c r="J38" s="453"/>
      <c r="K38" s="454"/>
      <c r="L38" s="280" t="str">
        <f>IF(B3="Reliable Ringers","ILEGAL",IF(OR($B$3="Stunty Superstar",$B$3="Brutal Blockers",$B$3="Bona Fide Big Guy",$B$3="Mercenaries"),"ILEGAL",(IF(J38&lt;&gt;"",(IF($B$3="Legendary Linemen",150000,(IF(J38="Big Hand",30000,(IF(J38="Extra Arms",20000,(IF(J38="Two Heads",30000,(IF(J38="Very Long Legs",30000,0)))))))))),0))))</f>
        <v>ILEGAL</v>
      </c>
      <c r="M38" s="453"/>
      <c r="N38" s="454"/>
      <c r="O38" s="280" t="str">
        <f>IF(B29&lt;&gt;"Legendary Linemen","ILEGAL",(IF(M38&lt;&gt;"",190000,0)))</f>
        <v>ILEGAL</v>
      </c>
      <c r="P38" s="453"/>
      <c r="Q38" s="454"/>
      <c r="R38" s="280" t="str">
        <f>IF(B29&lt;&gt;"Legendary Linemen","ILEGAL",(IF(P38&lt;&gt;"",230000,0)))</f>
        <v>ILEGAL</v>
      </c>
      <c r="S38" s="280">
        <f t="shared" si="4"/>
        <v>0</v>
      </c>
      <c r="T38" s="468"/>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68"/>
      <c r="B39" s="468"/>
      <c r="C39" s="468"/>
      <c r="D39" s="468"/>
      <c r="E39" s="468"/>
      <c r="F39" s="468"/>
      <c r="G39" s="468"/>
      <c r="H39" s="468"/>
      <c r="I39" s="468"/>
      <c r="J39" s="468"/>
      <c r="K39" s="468"/>
      <c r="L39" s="468"/>
      <c r="M39" s="468"/>
      <c r="N39" s="468"/>
      <c r="O39" s="468"/>
      <c r="P39" s="468"/>
      <c r="Q39" s="468"/>
      <c r="R39" s="468"/>
      <c r="S39" s="468"/>
      <c r="T39" s="468"/>
      <c r="W39"/>
      <c r="X39"/>
      <c r="Y39"/>
    </row>
    <row r="40" spans="1:46" ht="12.75" hidden="1" customHeight="1" x14ac:dyDescent="0.2">
      <c r="W40"/>
      <c r="X40"/>
      <c r="Y40"/>
    </row>
    <row r="41" spans="1:46" ht="12.75" hidden="1" customHeight="1" x14ac:dyDescent="0.2">
      <c r="C41" s="457" t="s">
        <v>1274</v>
      </c>
      <c r="D41" s="458"/>
      <c r="F41" s="457" t="s">
        <v>1275</v>
      </c>
      <c r="G41" s="458"/>
      <c r="I41" s="457" t="s">
        <v>1276</v>
      </c>
      <c r="J41" s="458"/>
      <c r="L41" s="457" t="s">
        <v>1277</v>
      </c>
      <c r="M41" s="458"/>
      <c r="N41" s="248"/>
      <c r="O41" s="457" t="s">
        <v>1278</v>
      </c>
      <c r="P41" s="458"/>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Dirty Player (+1), Sneaky Git, Loner (5+)</v>
      </c>
      <c r="D43" s="233">
        <v>50000</v>
      </c>
      <c r="E43" s="238"/>
      <c r="F43" s="232" t="s">
        <v>1279</v>
      </c>
      <c r="G43" s="233">
        <v>70000</v>
      </c>
      <c r="H43" s="238"/>
      <c r="I43" s="232" t="str">
        <f>IF(Roster!BV2&lt;&gt;"Favouredof",(IF(Roster!BV2&lt;&gt;"ElvenKingdomsLeague",(IF(Roster!BV2&lt;&gt;"SylvanianSpotlight",(IF(Roster!BV2&lt;&gt;"UnderworldChallenge","Dirty Player (+1), Sneaky Git, Loner (5+)","")),"")),"")),"")</f>
        <v>Dirty Player (+1), Sneaky Git, Loner (5+)</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Frenzy, Unchannelled Fury, Horns, -Throw Team Mate, -Bone Head</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Bombardier, Secret Weapon</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5"/>
      <c r="C2" s="146"/>
      <c r="D2" s="146"/>
      <c r="E2" s="146"/>
      <c r="F2" s="146"/>
      <c r="G2" s="146"/>
      <c r="H2" s="146"/>
      <c r="I2" s="146"/>
      <c r="J2" s="146"/>
      <c r="K2" s="146"/>
      <c r="L2" s="146"/>
      <c r="M2" s="146"/>
      <c r="N2" s="146"/>
      <c r="O2" s="146"/>
      <c r="Q2" s="478" t="str">
        <f>IF(Roster!$A$2=0,"","#"&amp;Roster!$A$2)</f>
        <v>#1</v>
      </c>
      <c r="R2" s="146"/>
      <c r="S2" s="146"/>
      <c r="T2" s="146"/>
      <c r="U2" s="146"/>
      <c r="V2" s="146"/>
      <c r="W2" s="146"/>
      <c r="X2" s="146"/>
      <c r="Y2" s="146"/>
      <c r="Z2" s="146"/>
      <c r="AA2" s="146"/>
      <c r="AB2" s="146"/>
      <c r="AC2" s="146"/>
      <c r="AD2" s="146"/>
      <c r="AF2" s="478" t="str">
        <f>IF(Roster!$A$3=0,"","#"&amp;Roster!$A$3)</f>
        <v>#2</v>
      </c>
      <c r="AG2" s="146"/>
      <c r="AH2" s="146"/>
      <c r="AI2" s="146"/>
      <c r="AJ2" s="146"/>
      <c r="AK2" s="146"/>
      <c r="AL2" s="146"/>
      <c r="AM2" s="146"/>
      <c r="AN2" s="146"/>
      <c r="AO2" s="146"/>
      <c r="AP2" s="146"/>
      <c r="AQ2" s="146"/>
      <c r="AR2" s="146"/>
      <c r="AS2" s="146"/>
      <c r="AU2" s="478" t="str">
        <f>IF(Roster!$A$4=0,"","#"&amp;Roster!$A$4)</f>
        <v>#3</v>
      </c>
      <c r="AV2" s="146"/>
      <c r="AW2" s="146"/>
      <c r="AX2" s="146"/>
      <c r="AY2" s="146"/>
      <c r="AZ2" s="146"/>
      <c r="BA2" s="146"/>
      <c r="BB2" s="146"/>
      <c r="BC2" s="146"/>
      <c r="BD2" s="146"/>
      <c r="BE2" s="146"/>
      <c r="BF2" s="146"/>
      <c r="BG2" s="146"/>
      <c r="BH2" s="146"/>
    </row>
    <row r="3" spans="2:60" ht="15" customHeight="1" x14ac:dyDescent="0.25">
      <c r="B3" s="290"/>
      <c r="C3" s="471" t="str">
        <f>IF(Roster!$K$24=0,Roster!$D$24,Roster!$K$24)</f>
        <v>Freud</v>
      </c>
      <c r="D3" s="296"/>
      <c r="E3" s="296"/>
      <c r="F3" s="296"/>
      <c r="G3" s="296"/>
      <c r="H3" s="296"/>
      <c r="I3" s="296"/>
      <c r="J3" s="296"/>
      <c r="K3" s="296"/>
      <c r="L3" s="296"/>
      <c r="M3" s="296"/>
      <c r="N3" s="297"/>
      <c r="O3" s="146"/>
      <c r="Q3" s="290"/>
      <c r="R3" s="471" t="str">
        <f>IF(Roster!$B$2=0,"",Roster!$B$2)</f>
        <v>Nesquig</v>
      </c>
      <c r="S3" s="296"/>
      <c r="T3" s="296"/>
      <c r="U3" s="296"/>
      <c r="V3" s="296"/>
      <c r="W3" s="296"/>
      <c r="X3" s="296"/>
      <c r="Y3" s="296"/>
      <c r="Z3" s="296"/>
      <c r="AA3" s="296"/>
      <c r="AB3" s="296"/>
      <c r="AC3" s="297"/>
      <c r="AD3" s="146"/>
      <c r="AF3" s="290"/>
      <c r="AG3" s="471" t="str">
        <f>IF(Roster!$B$3=0,"",Roster!$B$3)</f>
        <v>Orc Popz</v>
      </c>
      <c r="AH3" s="296"/>
      <c r="AI3" s="296"/>
      <c r="AJ3" s="296"/>
      <c r="AK3" s="296"/>
      <c r="AL3" s="296"/>
      <c r="AM3" s="296"/>
      <c r="AN3" s="296"/>
      <c r="AO3" s="296"/>
      <c r="AP3" s="296"/>
      <c r="AQ3" s="296"/>
      <c r="AR3" s="297"/>
      <c r="AS3" s="146"/>
      <c r="AU3" s="290"/>
      <c r="AV3" s="471" t="str">
        <f>IF(Roster!$B$4=0,"",Roster!$B$4)</f>
        <v>Kellorc's</v>
      </c>
      <c r="AW3" s="296"/>
      <c r="AX3" s="296"/>
      <c r="AY3" s="296"/>
      <c r="AZ3" s="296"/>
      <c r="BA3" s="296"/>
      <c r="BB3" s="296"/>
      <c r="BC3" s="296"/>
      <c r="BD3" s="296"/>
      <c r="BE3" s="296"/>
      <c r="BF3" s="296"/>
      <c r="BG3" s="297"/>
      <c r="BH3" s="146"/>
    </row>
    <row r="4" spans="2:60" ht="11.25" customHeight="1" x14ac:dyDescent="0.2">
      <c r="B4" s="290"/>
      <c r="C4" s="477" t="str">
        <f>IF(Roster!$K$21="SPONSORS",Roster!$K$23,Roster!$K$23&amp;"; Sponsor: "&amp;Roster!$K$21)</f>
        <v>Black Orc</v>
      </c>
      <c r="D4" s="296"/>
      <c r="E4" s="296"/>
      <c r="F4" s="296"/>
      <c r="G4" s="296"/>
      <c r="H4" s="296"/>
      <c r="I4" s="296"/>
      <c r="J4" s="296"/>
      <c r="K4" s="296"/>
      <c r="L4" s="296"/>
      <c r="M4" s="296"/>
      <c r="N4" s="297"/>
      <c r="O4" s="147"/>
      <c r="Q4" s="450"/>
      <c r="R4" s="477" t="str">
        <f>IF(Roster!$D$2=0,"",Roster!$D$2)</f>
        <v>Trained Troll</v>
      </c>
      <c r="S4" s="296"/>
      <c r="T4" s="296"/>
      <c r="U4" s="296"/>
      <c r="V4" s="296"/>
      <c r="W4" s="296"/>
      <c r="X4" s="296"/>
      <c r="Y4" s="296"/>
      <c r="Z4" s="296"/>
      <c r="AA4" s="296"/>
      <c r="AB4" s="296"/>
      <c r="AC4" s="297"/>
      <c r="AD4" s="147"/>
      <c r="AF4" s="450"/>
      <c r="AG4" s="477" t="str">
        <f>IF(Roster!$D$3=0,"",Roster!$D$3)</f>
        <v>Black Orc</v>
      </c>
      <c r="AH4" s="296"/>
      <c r="AI4" s="296"/>
      <c r="AJ4" s="296"/>
      <c r="AK4" s="296"/>
      <c r="AL4" s="296"/>
      <c r="AM4" s="296"/>
      <c r="AN4" s="296"/>
      <c r="AO4" s="296"/>
      <c r="AP4" s="296"/>
      <c r="AQ4" s="296"/>
      <c r="AR4" s="297"/>
      <c r="AS4" s="147"/>
      <c r="AU4" s="450"/>
      <c r="AV4" s="477" t="str">
        <f>IF(Roster!$D$4=0,"",Roster!$D$4)</f>
        <v>Black Orc</v>
      </c>
      <c r="AW4" s="296"/>
      <c r="AX4" s="296"/>
      <c r="AY4" s="296"/>
      <c r="AZ4" s="296"/>
      <c r="BA4" s="296"/>
      <c r="BB4" s="296"/>
      <c r="BC4" s="296"/>
      <c r="BD4" s="296"/>
      <c r="BE4" s="296"/>
      <c r="BF4" s="296"/>
      <c r="BG4" s="297"/>
      <c r="BH4" s="147"/>
    </row>
    <row r="5" spans="2:60" ht="11.25" customHeight="1" x14ac:dyDescent="0.2">
      <c r="B5" s="450"/>
      <c r="C5" s="148"/>
      <c r="D5" s="477" t="str">
        <f>IF(Roster!$D$32=0,"",Roster!$D$32)</f>
        <v>TEAM VALUE</v>
      </c>
      <c r="E5" s="296"/>
      <c r="F5" s="297"/>
      <c r="G5" s="149"/>
      <c r="H5" s="477" t="str">
        <f>IF(Roster!$D$26=0,"",Roster!$D$26)</f>
        <v>TEAM NAME</v>
      </c>
      <c r="I5" s="296"/>
      <c r="J5" s="297"/>
      <c r="K5" s="149"/>
      <c r="L5" s="477" t="str">
        <f>IF(Roster!$AE$21=0,"",Roster!$AE$21)</f>
        <v>TOTAL REROLLS</v>
      </c>
      <c r="M5" s="296"/>
      <c r="N5" s="297"/>
      <c r="O5" s="146"/>
      <c r="Q5" s="150" t="str">
        <f>IF(Roster!$K$1=0,"",Roster!$K$1)</f>
        <v>MA</v>
      </c>
      <c r="R5" s="149"/>
      <c r="S5" s="490"/>
      <c r="T5" s="490"/>
      <c r="U5" s="490"/>
      <c r="V5" s="490"/>
      <c r="W5" s="490"/>
      <c r="X5" s="490"/>
      <c r="Y5" s="490"/>
      <c r="Z5" s="490"/>
      <c r="AA5" s="490"/>
      <c r="AB5" s="490"/>
      <c r="AC5" s="490"/>
      <c r="AD5" s="146"/>
      <c r="AF5" s="150" t="str">
        <f>IF(Roster!$K$1=0,"",Roster!$K$1)</f>
        <v>MA</v>
      </c>
      <c r="AG5" s="149"/>
      <c r="AH5" s="490"/>
      <c r="AI5" s="490"/>
      <c r="AJ5" s="490"/>
      <c r="AK5" s="490"/>
      <c r="AL5" s="490"/>
      <c r="AM5" s="490"/>
      <c r="AN5" s="490"/>
      <c r="AO5" s="490"/>
      <c r="AP5" s="490"/>
      <c r="AQ5" s="490"/>
      <c r="AR5" s="490"/>
      <c r="AS5" s="146"/>
      <c r="AU5" s="150" t="str">
        <f>IF(Roster!$K$1=0,"",Roster!$K$1)</f>
        <v>MA</v>
      </c>
      <c r="AV5" s="149"/>
      <c r="AW5" s="490"/>
      <c r="AX5" s="490"/>
      <c r="AY5" s="490"/>
      <c r="AZ5" s="490"/>
      <c r="BA5" s="490"/>
      <c r="BB5" s="490"/>
      <c r="BC5" s="490"/>
      <c r="BD5" s="490"/>
      <c r="BE5" s="490"/>
      <c r="BF5" s="490"/>
      <c r="BG5" s="490"/>
      <c r="BH5" s="146"/>
    </row>
    <row r="6" spans="2:60" ht="37.5" customHeight="1" x14ac:dyDescent="0.2">
      <c r="B6" s="506" t="str">
        <f>IF(Roster!$K$22=0,"",Roster!$K$22)</f>
        <v>STADIUM</v>
      </c>
      <c r="C6" s="151"/>
      <c r="D6" s="504">
        <f>Roster!$K$32</f>
        <v>1240</v>
      </c>
      <c r="E6" s="296"/>
      <c r="F6" s="297"/>
      <c r="G6" s="149"/>
      <c r="H6" s="504" t="str">
        <f>IF(Roster!$K$26=0,"",Roster!$K$26)</f>
        <v>Zhereali</v>
      </c>
      <c r="I6" s="296"/>
      <c r="J6" s="297"/>
      <c r="K6" s="149"/>
      <c r="L6" s="504">
        <f>Roster!$AJ$22</f>
        <v>2</v>
      </c>
      <c r="M6" s="296"/>
      <c r="N6" s="297"/>
      <c r="O6" s="146"/>
      <c r="Q6" s="152">
        <f>IF(Roster!$K$2=0,"",Roster!$K$2)</f>
        <v>4</v>
      </c>
      <c r="R6" s="149"/>
      <c r="S6" s="490"/>
      <c r="T6" s="490"/>
      <c r="U6" s="490"/>
      <c r="V6" s="490"/>
      <c r="W6" s="490"/>
      <c r="X6" s="490"/>
      <c r="Y6" s="490"/>
      <c r="Z6" s="490"/>
      <c r="AA6" s="490"/>
      <c r="AB6" s="490"/>
      <c r="AC6" s="490"/>
      <c r="AD6" s="146"/>
      <c r="AF6" s="152">
        <f>IF(Roster!$K$3=0,"",Roster!$K$3)</f>
        <v>4</v>
      </c>
      <c r="AG6" s="149"/>
      <c r="AH6" s="490"/>
      <c r="AI6" s="490"/>
      <c r="AJ6" s="490"/>
      <c r="AK6" s="490"/>
      <c r="AL6" s="490"/>
      <c r="AM6" s="490"/>
      <c r="AN6" s="490"/>
      <c r="AO6" s="490"/>
      <c r="AP6" s="490"/>
      <c r="AQ6" s="490"/>
      <c r="AR6" s="490"/>
      <c r="AS6" s="146"/>
      <c r="AU6" s="152">
        <f>IF(Roster!$K$4=0,"",Roster!$K$4)</f>
        <v>4</v>
      </c>
      <c r="AV6" s="149"/>
      <c r="AW6" s="490"/>
      <c r="AX6" s="490"/>
      <c r="AY6" s="490"/>
      <c r="AZ6" s="490"/>
      <c r="BA6" s="490"/>
      <c r="BB6" s="490"/>
      <c r="BC6" s="490"/>
      <c r="BD6" s="490"/>
      <c r="BE6" s="490"/>
      <c r="BF6" s="490"/>
      <c r="BG6" s="490"/>
      <c r="BH6" s="146"/>
    </row>
    <row r="7" spans="2:60" ht="11.25" customHeight="1" x14ac:dyDescent="0.2">
      <c r="B7" s="290"/>
      <c r="C7" s="150"/>
      <c r="D7" s="477" t="str">
        <f>IF(Roster!$S$22=0,"",Roster!$S$22)</f>
        <v>APOTHECARY</v>
      </c>
      <c r="E7" s="296"/>
      <c r="F7" s="297"/>
      <c r="G7" s="149"/>
      <c r="H7" s="477" t="str">
        <f>IF(Roster!$S$23=0,"",Roster!$S$23)</f>
        <v>CHEERLEADERS</v>
      </c>
      <c r="I7" s="296"/>
      <c r="J7" s="297"/>
      <c r="K7" s="149"/>
      <c r="L7" s="477" t="str">
        <f>IF(Roster!$S$24=0,"",Roster!$S$24)</f>
        <v>ASSISTANT COACHES</v>
      </c>
      <c r="M7" s="296"/>
      <c r="N7" s="297"/>
      <c r="O7" s="146"/>
      <c r="Q7" s="150" t="str">
        <f>IF(Roster!$L$1=0,"",Roster!$L$1)</f>
        <v>ST</v>
      </c>
      <c r="R7" s="149"/>
      <c r="S7" s="490"/>
      <c r="T7" s="490"/>
      <c r="U7" s="490"/>
      <c r="V7" s="490"/>
      <c r="W7" s="490"/>
      <c r="X7" s="490"/>
      <c r="Y7" s="490"/>
      <c r="Z7" s="490"/>
      <c r="AA7" s="490"/>
      <c r="AB7" s="490"/>
      <c r="AC7" s="490"/>
      <c r="AD7" s="146"/>
      <c r="AF7" s="150" t="str">
        <f>IF(Roster!$L$1=0,"",Roster!$L$1)</f>
        <v>ST</v>
      </c>
      <c r="AG7" s="149"/>
      <c r="AH7" s="490"/>
      <c r="AI7" s="490"/>
      <c r="AJ7" s="490"/>
      <c r="AK7" s="490"/>
      <c r="AL7" s="490"/>
      <c r="AM7" s="490"/>
      <c r="AN7" s="490"/>
      <c r="AO7" s="490"/>
      <c r="AP7" s="490"/>
      <c r="AQ7" s="490"/>
      <c r="AR7" s="490"/>
      <c r="AS7" s="146"/>
      <c r="AU7" s="150" t="str">
        <f>IF(Roster!$L$1=0,"",Roster!$L$1)</f>
        <v>ST</v>
      </c>
      <c r="AV7" s="149"/>
      <c r="AW7" s="490"/>
      <c r="AX7" s="490"/>
      <c r="AY7" s="490"/>
      <c r="AZ7" s="490"/>
      <c r="BA7" s="490"/>
      <c r="BB7" s="490"/>
      <c r="BC7" s="490"/>
      <c r="BD7" s="490"/>
      <c r="BE7" s="490"/>
      <c r="BF7" s="490"/>
      <c r="BG7" s="490"/>
      <c r="BH7" s="146"/>
    </row>
    <row r="8" spans="2:60" ht="37.5" customHeight="1" x14ac:dyDescent="0.2">
      <c r="B8" s="290"/>
      <c r="C8" s="153"/>
      <c r="D8" s="504">
        <f>Roster!$X$22</f>
        <v>1</v>
      </c>
      <c r="E8" s="296"/>
      <c r="F8" s="297"/>
      <c r="G8" s="149"/>
      <c r="H8" s="504">
        <f>Roster!$X$23</f>
        <v>0</v>
      </c>
      <c r="I8" s="296"/>
      <c r="J8" s="297"/>
      <c r="K8" s="149"/>
      <c r="L8" s="504">
        <f>Roster!$X$24</f>
        <v>0</v>
      </c>
      <c r="M8" s="296"/>
      <c r="N8" s="297"/>
      <c r="O8" s="146"/>
      <c r="Q8" s="152">
        <f>IF(Roster!$L$2=0,"",Roster!$L$2)</f>
        <v>5</v>
      </c>
      <c r="R8" s="149"/>
      <c r="S8" s="490"/>
      <c r="T8" s="490"/>
      <c r="U8" s="490"/>
      <c r="V8" s="490"/>
      <c r="W8" s="490"/>
      <c r="X8" s="490"/>
      <c r="Y8" s="490"/>
      <c r="Z8" s="490"/>
      <c r="AA8" s="490"/>
      <c r="AB8" s="490"/>
      <c r="AC8" s="490"/>
      <c r="AD8" s="146"/>
      <c r="AF8" s="152">
        <f>IF(Roster!$L$3=0,"",Roster!$L$3)</f>
        <v>4</v>
      </c>
      <c r="AG8" s="149"/>
      <c r="AH8" s="490"/>
      <c r="AI8" s="490"/>
      <c r="AJ8" s="490"/>
      <c r="AK8" s="490"/>
      <c r="AL8" s="490"/>
      <c r="AM8" s="490"/>
      <c r="AN8" s="490"/>
      <c r="AO8" s="490"/>
      <c r="AP8" s="490"/>
      <c r="AQ8" s="490"/>
      <c r="AR8" s="490"/>
      <c r="AS8" s="146"/>
      <c r="AU8" s="152">
        <f>IF(Roster!$L$4=0,"",Roster!$L$4)</f>
        <v>4</v>
      </c>
      <c r="AV8" s="149"/>
      <c r="AW8" s="490"/>
      <c r="AX8" s="490"/>
      <c r="AY8" s="490"/>
      <c r="AZ8" s="490"/>
      <c r="BA8" s="490"/>
      <c r="BB8" s="490"/>
      <c r="BC8" s="490"/>
      <c r="BD8" s="490"/>
      <c r="BE8" s="490"/>
      <c r="BF8" s="490"/>
      <c r="BG8" s="490"/>
      <c r="BH8" s="146"/>
    </row>
    <row r="9" spans="2:60" ht="11.25" customHeight="1" x14ac:dyDescent="0.2">
      <c r="B9" s="290"/>
      <c r="C9" s="148"/>
      <c r="D9" s="477" t="str">
        <f>IF(Roster!$S$25=0,"",Roster!$S$25)</f>
        <v>BLOODWEISER KEGS</v>
      </c>
      <c r="E9" s="296"/>
      <c r="F9" s="297"/>
      <c r="G9" s="149"/>
      <c r="H9" s="477" t="str">
        <f>IF(Roster!$S$29=0,"",Roster!$S$29)</f>
        <v>BRIBES</v>
      </c>
      <c r="I9" s="296"/>
      <c r="J9" s="297"/>
      <c r="K9" s="149"/>
      <c r="L9" s="477" t="str">
        <f>IF(Roster!$S$30=0,"",Roster!$S$30)</f>
        <v>MASTER CHEF</v>
      </c>
      <c r="M9" s="296"/>
      <c r="N9" s="297"/>
      <c r="O9" s="146"/>
      <c r="Q9" s="150" t="str">
        <f>IF(Roster!$M$1=0,"",Roster!$M$1)</f>
        <v>AG</v>
      </c>
      <c r="R9" s="149"/>
      <c r="S9" s="490"/>
      <c r="T9" s="490"/>
      <c r="U9" s="490"/>
      <c r="V9" s="490"/>
      <c r="W9" s="490"/>
      <c r="X9" s="490"/>
      <c r="Y9" s="490"/>
      <c r="Z9" s="490"/>
      <c r="AA9" s="490"/>
      <c r="AB9" s="490"/>
      <c r="AC9" s="490"/>
      <c r="AD9" s="146"/>
      <c r="AF9" s="150" t="str">
        <f>IF(Roster!$M$1=0,"",Roster!$M$1)</f>
        <v>AG</v>
      </c>
      <c r="AG9" s="149"/>
      <c r="AH9" s="490"/>
      <c r="AI9" s="490"/>
      <c r="AJ9" s="490"/>
      <c r="AK9" s="490"/>
      <c r="AL9" s="490"/>
      <c r="AM9" s="490"/>
      <c r="AN9" s="490"/>
      <c r="AO9" s="490"/>
      <c r="AP9" s="490"/>
      <c r="AQ9" s="490"/>
      <c r="AR9" s="490"/>
      <c r="AS9" s="146"/>
      <c r="AU9" s="150" t="str">
        <f>IF(Roster!$M$1=0,"",Roster!$M$1)</f>
        <v>AG</v>
      </c>
      <c r="AV9" s="149"/>
      <c r="AW9" s="490"/>
      <c r="AX9" s="490"/>
      <c r="AY9" s="490"/>
      <c r="AZ9" s="490"/>
      <c r="BA9" s="490"/>
      <c r="BB9" s="490"/>
      <c r="BC9" s="490"/>
      <c r="BD9" s="490"/>
      <c r="BE9" s="490"/>
      <c r="BF9" s="490"/>
      <c r="BG9" s="490"/>
      <c r="BH9" s="146"/>
    </row>
    <row r="10" spans="2:60" ht="37.5" customHeight="1" x14ac:dyDescent="0.2">
      <c r="B10" s="290"/>
      <c r="C10" s="153"/>
      <c r="D10" s="504">
        <f>Roster!$X$25</f>
        <v>0</v>
      </c>
      <c r="E10" s="296"/>
      <c r="F10" s="297"/>
      <c r="G10" s="149"/>
      <c r="H10" s="504">
        <f>Roster!$X$29</f>
        <v>0</v>
      </c>
      <c r="I10" s="296"/>
      <c r="J10" s="297"/>
      <c r="K10" s="149"/>
      <c r="L10" s="504">
        <f>Roster!$X$30</f>
        <v>0</v>
      </c>
      <c r="M10" s="296"/>
      <c r="N10" s="297"/>
      <c r="O10" s="146"/>
      <c r="Q10" s="152" t="str">
        <f>IF(Roster!$M$2=0&amp;"+","",Roster!$M$2)</f>
        <v>5+</v>
      </c>
      <c r="R10" s="149"/>
      <c r="S10" s="490"/>
      <c r="T10" s="490"/>
      <c r="U10" s="490"/>
      <c r="V10" s="490"/>
      <c r="W10" s="490"/>
      <c r="X10" s="490"/>
      <c r="Y10" s="490"/>
      <c r="Z10" s="490"/>
      <c r="AA10" s="490"/>
      <c r="AB10" s="490"/>
      <c r="AC10" s="490"/>
      <c r="AD10" s="146"/>
      <c r="AF10" s="152" t="str">
        <f>IF(Roster!$M$3=0&amp;"+","",Roster!$M$3)</f>
        <v>4+</v>
      </c>
      <c r="AG10" s="149"/>
      <c r="AH10" s="490"/>
      <c r="AI10" s="490"/>
      <c r="AJ10" s="490"/>
      <c r="AK10" s="490"/>
      <c r="AL10" s="490"/>
      <c r="AM10" s="490"/>
      <c r="AN10" s="490"/>
      <c r="AO10" s="490"/>
      <c r="AP10" s="490"/>
      <c r="AQ10" s="490"/>
      <c r="AR10" s="490"/>
      <c r="AS10" s="146"/>
      <c r="AU10" s="152" t="str">
        <f>IF(Roster!$M$4=0&amp;"+","",Roster!$M$4)</f>
        <v>5+</v>
      </c>
      <c r="AV10" s="149"/>
      <c r="AW10" s="490"/>
      <c r="AX10" s="490"/>
      <c r="AY10" s="490"/>
      <c r="AZ10" s="490"/>
      <c r="BA10" s="490"/>
      <c r="BB10" s="490"/>
      <c r="BC10" s="490"/>
      <c r="BD10" s="490"/>
      <c r="BE10" s="490"/>
      <c r="BF10" s="490"/>
      <c r="BG10" s="490"/>
      <c r="BH10" s="146"/>
    </row>
    <row r="11" spans="2:60" ht="11.25" customHeight="1" x14ac:dyDescent="0.2">
      <c r="B11" s="290"/>
      <c r="C11" s="150"/>
      <c r="D11" s="501" t="str">
        <f>IF(Roster!$S$31=0,"",Roster!$S$31)</f>
        <v>RIOTOUS ROOKIES</v>
      </c>
      <c r="E11" s="296"/>
      <c r="F11" s="297"/>
      <c r="G11" s="154"/>
      <c r="H11" s="501" t="str">
        <f>IF(Roster!$AE$25=0,"",Roster!$AE$25)</f>
        <v>WIZARDS</v>
      </c>
      <c r="I11" s="296"/>
      <c r="J11" s="297"/>
      <c r="K11" s="154"/>
      <c r="L11" s="477" t="str">
        <f>IF(Roster!$AE$24=0,"",Roster!$AE$24)</f>
        <v>WEATHER MAGE</v>
      </c>
      <c r="M11" s="296"/>
      <c r="N11" s="297"/>
      <c r="O11" s="155"/>
      <c r="Q11" s="150" t="str">
        <f>IF(Roster!$N$1=0,"",Roster!$N$1)</f>
        <v>PA</v>
      </c>
      <c r="R11" s="149"/>
      <c r="S11" s="490"/>
      <c r="T11" s="490"/>
      <c r="U11" s="490"/>
      <c r="V11" s="490"/>
      <c r="W11" s="490"/>
      <c r="X11" s="490"/>
      <c r="Y11" s="490"/>
      <c r="Z11" s="490"/>
      <c r="AA11" s="490"/>
      <c r="AB11" s="490"/>
      <c r="AC11" s="490"/>
      <c r="AD11" s="155"/>
      <c r="AF11" s="150" t="str">
        <f>IF(Roster!$N$1=0,"",Roster!$N$1)</f>
        <v>PA</v>
      </c>
      <c r="AG11" s="149"/>
      <c r="AH11" s="490"/>
      <c r="AI11" s="490"/>
      <c r="AJ11" s="490"/>
      <c r="AK11" s="490"/>
      <c r="AL11" s="490"/>
      <c r="AM11" s="490"/>
      <c r="AN11" s="490"/>
      <c r="AO11" s="490"/>
      <c r="AP11" s="490"/>
      <c r="AQ11" s="490"/>
      <c r="AR11" s="490"/>
      <c r="AS11" s="155"/>
      <c r="AU11" s="150" t="str">
        <f>IF(Roster!$N$1=0,"",Roster!$N$1)</f>
        <v>PA</v>
      </c>
      <c r="AV11" s="149"/>
      <c r="AW11" s="490"/>
      <c r="AX11" s="490"/>
      <c r="AY11" s="490"/>
      <c r="AZ11" s="490"/>
      <c r="BA11" s="490"/>
      <c r="BB11" s="490"/>
      <c r="BC11" s="490"/>
      <c r="BD11" s="490"/>
      <c r="BE11" s="490"/>
      <c r="BF11" s="490"/>
      <c r="BG11" s="490"/>
      <c r="BH11" s="155"/>
    </row>
    <row r="12" spans="2:60" ht="6" customHeight="1" x14ac:dyDescent="0.2">
      <c r="B12" s="290"/>
      <c r="C12" s="151"/>
      <c r="D12" s="494">
        <f>Roster!$X$31</f>
        <v>0</v>
      </c>
      <c r="E12" s="495"/>
      <c r="F12" s="496"/>
      <c r="G12" s="156"/>
      <c r="H12" s="494">
        <f>Roster!$AJ$25</f>
        <v>0</v>
      </c>
      <c r="I12" s="495"/>
      <c r="J12" s="496"/>
      <c r="K12" s="156"/>
      <c r="L12" s="494">
        <f>Roster!$AJ$24</f>
        <v>0</v>
      </c>
      <c r="M12" s="495"/>
      <c r="N12" s="496"/>
      <c r="O12" s="157"/>
      <c r="Q12" s="479" t="str">
        <f>IF(Roster!$N$2=0&amp;"+","",Roster!$N$2)</f>
        <v>5+</v>
      </c>
      <c r="R12" s="149"/>
      <c r="S12" s="490"/>
      <c r="T12" s="490"/>
      <c r="U12" s="490"/>
      <c r="V12" s="490"/>
      <c r="W12" s="490"/>
      <c r="X12" s="490"/>
      <c r="Y12" s="490"/>
      <c r="Z12" s="490"/>
      <c r="AA12" s="490"/>
      <c r="AB12" s="490"/>
      <c r="AC12" s="490"/>
      <c r="AD12" s="157"/>
      <c r="AF12" s="479" t="str">
        <f>IF(Roster!$N$3=0&amp;"+","",Roster!$N$3)</f>
        <v>5+</v>
      </c>
      <c r="AG12" s="149"/>
      <c r="AH12" s="490"/>
      <c r="AI12" s="490"/>
      <c r="AJ12" s="490"/>
      <c r="AK12" s="490"/>
      <c r="AL12" s="490"/>
      <c r="AM12" s="490"/>
      <c r="AN12" s="490"/>
      <c r="AO12" s="490"/>
      <c r="AP12" s="490"/>
      <c r="AQ12" s="490"/>
      <c r="AR12" s="490"/>
      <c r="AS12" s="157"/>
      <c r="AU12" s="479" t="str">
        <f>IF(Roster!$N$4=0&amp;"+","",Roster!$N$4)</f>
        <v>5+</v>
      </c>
      <c r="AV12" s="149"/>
      <c r="AW12" s="490"/>
      <c r="AX12" s="490"/>
      <c r="AY12" s="490"/>
      <c r="AZ12" s="490"/>
      <c r="BA12" s="490"/>
      <c r="BB12" s="490"/>
      <c r="BC12" s="490"/>
      <c r="BD12" s="490"/>
      <c r="BE12" s="490"/>
      <c r="BF12" s="490"/>
      <c r="BG12" s="490"/>
      <c r="BH12" s="157"/>
    </row>
    <row r="13" spans="2:60" ht="4.5" customHeight="1" x14ac:dyDescent="0.2">
      <c r="B13" s="290"/>
      <c r="C13" s="151"/>
      <c r="D13" s="497"/>
      <c r="E13" s="353"/>
      <c r="F13" s="498"/>
      <c r="G13" s="156"/>
      <c r="H13" s="497"/>
      <c r="I13" s="353"/>
      <c r="J13" s="498"/>
      <c r="K13" s="156"/>
      <c r="L13" s="497"/>
      <c r="M13" s="353"/>
      <c r="N13" s="498"/>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7"/>
      <c r="E14" s="353"/>
      <c r="F14" s="498"/>
      <c r="G14" s="156"/>
      <c r="H14" s="497"/>
      <c r="I14" s="353"/>
      <c r="J14" s="498"/>
      <c r="K14" s="156"/>
      <c r="L14" s="497"/>
      <c r="M14" s="353"/>
      <c r="N14" s="498"/>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7"/>
      <c r="E15" s="353"/>
      <c r="F15" s="498"/>
      <c r="G15" s="151"/>
      <c r="H15" s="497"/>
      <c r="I15" s="353"/>
      <c r="J15" s="498"/>
      <c r="K15" s="151"/>
      <c r="L15" s="497"/>
      <c r="M15" s="353"/>
      <c r="N15" s="498"/>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499"/>
      <c r="E16" s="500"/>
      <c r="F16" s="291"/>
      <c r="G16" s="151"/>
      <c r="H16" s="499"/>
      <c r="I16" s="500"/>
      <c r="J16" s="291"/>
      <c r="K16" s="151"/>
      <c r="L16" s="499"/>
      <c r="M16" s="500"/>
      <c r="N16" s="291"/>
      <c r="O16" s="157"/>
      <c r="Q16" s="450"/>
      <c r="R16" s="151"/>
      <c r="S16" s="160"/>
      <c r="T16" s="151"/>
      <c r="U16" s="160"/>
      <c r="V16" s="151"/>
      <c r="W16" s="160"/>
      <c r="X16" s="151"/>
      <c r="Y16" s="160"/>
      <c r="Z16" s="151"/>
      <c r="AA16" s="160"/>
      <c r="AB16" s="151"/>
      <c r="AC16" s="160"/>
      <c r="AD16" s="157"/>
      <c r="AF16" s="450"/>
      <c r="AG16" s="151"/>
      <c r="AH16" s="160"/>
      <c r="AI16" s="151"/>
      <c r="AJ16" s="160"/>
      <c r="AK16" s="151"/>
      <c r="AL16" s="160"/>
      <c r="AM16" s="151"/>
      <c r="AN16" s="160"/>
      <c r="AO16" s="151"/>
      <c r="AP16" s="160"/>
      <c r="AQ16" s="151"/>
      <c r="AR16" s="160"/>
      <c r="AS16" s="157"/>
      <c r="AU16" s="450"/>
      <c r="AV16" s="151"/>
      <c r="AW16" s="160"/>
      <c r="AX16" s="151"/>
      <c r="AY16" s="160"/>
      <c r="AZ16" s="151"/>
      <c r="BA16" s="160"/>
      <c r="BB16" s="151"/>
      <c r="BC16" s="160"/>
      <c r="BD16" s="151"/>
      <c r="BE16" s="160"/>
      <c r="BF16" s="151"/>
      <c r="BG16" s="160"/>
      <c r="BH16" s="157"/>
    </row>
    <row r="17" spans="2:60" ht="11.25" customHeight="1" x14ac:dyDescent="0.2">
      <c r="B17" s="290"/>
      <c r="C17" s="150"/>
      <c r="D17" s="477" t="str">
        <f>IF(Roster!$S$26=0,"",Roster!$S$26)</f>
        <v>SPECIAL CARD</v>
      </c>
      <c r="E17" s="296"/>
      <c r="F17" s="297"/>
      <c r="G17" s="150"/>
      <c r="H17" s="501" t="str">
        <f>IF(Roster!$AE$26=0,"",Roster!$AE$26)</f>
        <v>(IN)FAMOUS COACHES</v>
      </c>
      <c r="I17" s="296"/>
      <c r="J17" s="297"/>
      <c r="K17" s="150"/>
      <c r="L17" s="501" t="str">
        <f>IF(Roster!$AE$27=0,"",Roster!$AE$27)</f>
        <v>(IN)FAMOUS COACHES</v>
      </c>
      <c r="M17" s="296"/>
      <c r="N17" s="297"/>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4">
        <f>Roster!$X$26</f>
        <v>0</v>
      </c>
      <c r="E18" s="495"/>
      <c r="F18" s="496"/>
      <c r="G18" s="151"/>
      <c r="H18" s="494">
        <f>Roster!$AJ$26</f>
        <v>0</v>
      </c>
      <c r="I18" s="495"/>
      <c r="J18" s="496"/>
      <c r="K18" s="151"/>
      <c r="L18" s="494">
        <f>Roster!$AJ$27</f>
        <v>0</v>
      </c>
      <c r="M18" s="495"/>
      <c r="N18" s="496"/>
      <c r="O18" s="161"/>
      <c r="Q18" s="479"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9"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9" t="str">
        <f>IF(Roster!$O$4=0&amp;"+","",Roster!$O$4)</f>
        <v>10+</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4</v>
      </c>
      <c r="BF18" s="151"/>
      <c r="BG18" s="159" t="str">
        <f>IF(Roster!$AA$4=0,"",Roster!$AA$4)</f>
        <v/>
      </c>
      <c r="BH18" s="161"/>
    </row>
    <row r="19" spans="2:60" ht="4.5" customHeight="1" x14ac:dyDescent="0.2">
      <c r="B19" s="290"/>
      <c r="C19" s="151"/>
      <c r="D19" s="497"/>
      <c r="E19" s="353"/>
      <c r="F19" s="498"/>
      <c r="G19" s="151"/>
      <c r="H19" s="497"/>
      <c r="I19" s="353"/>
      <c r="J19" s="498"/>
      <c r="K19" s="151"/>
      <c r="L19" s="497"/>
      <c r="M19" s="353"/>
      <c r="N19" s="498"/>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7"/>
      <c r="E20" s="353"/>
      <c r="F20" s="498"/>
      <c r="G20" s="155"/>
      <c r="H20" s="497"/>
      <c r="I20" s="353"/>
      <c r="J20" s="498"/>
      <c r="K20" s="155"/>
      <c r="L20" s="497"/>
      <c r="M20" s="353"/>
      <c r="N20" s="498"/>
      <c r="O20" s="161"/>
      <c r="Q20" s="290"/>
      <c r="R20" s="151"/>
      <c r="S20" s="476" t="str">
        <f>IF(Roster!$K$25="Italiano","ABILITÀ &amp; TRATTI",(IF(Roster!$K$25="Español","HABILIDADES Y RASGOS","SKILLS &amp; TRAITS")))</f>
        <v>SKILLS &amp; TRAITS</v>
      </c>
      <c r="T20" s="296"/>
      <c r="U20" s="296"/>
      <c r="V20" s="296"/>
      <c r="W20" s="296"/>
      <c r="X20" s="296"/>
      <c r="Y20" s="296"/>
      <c r="Z20" s="296"/>
      <c r="AA20" s="296"/>
      <c r="AB20" s="296"/>
      <c r="AC20" s="297"/>
      <c r="AD20" s="161"/>
      <c r="AF20" s="290"/>
      <c r="AG20" s="151"/>
      <c r="AH20" s="476" t="str">
        <f>IF(Roster!$K$25="Italiano","ABILITÀ &amp; TRATTI",(IF(Roster!$K$25="Español","HABILIDADES Y RASGOS","SKILLS &amp; TRAITS")))</f>
        <v>SKILLS &amp; TRAITS</v>
      </c>
      <c r="AI20" s="296"/>
      <c r="AJ20" s="296"/>
      <c r="AK20" s="296"/>
      <c r="AL20" s="296"/>
      <c r="AM20" s="296"/>
      <c r="AN20" s="296"/>
      <c r="AO20" s="296"/>
      <c r="AP20" s="296"/>
      <c r="AQ20" s="296"/>
      <c r="AR20" s="297"/>
      <c r="AS20" s="161"/>
      <c r="AU20" s="290"/>
      <c r="AV20" s="151"/>
      <c r="AW20" s="476" t="str">
        <f>IF(Roster!$K$25="Italiano","ABILITÀ &amp; TRATTI",(IF(Roster!$K$25="Español","HABILIDADES Y RASGOS","SKILLS &amp; TRAITS")))</f>
        <v>SKILLS &amp; TRAITS</v>
      </c>
      <c r="AX20" s="296"/>
      <c r="AY20" s="296"/>
      <c r="AZ20" s="296"/>
      <c r="BA20" s="296"/>
      <c r="BB20" s="296"/>
      <c r="BC20" s="296"/>
      <c r="BD20" s="296"/>
      <c r="BE20" s="296"/>
      <c r="BF20" s="296"/>
      <c r="BG20" s="297"/>
      <c r="BH20" s="161"/>
    </row>
    <row r="21" spans="2:60" ht="6.75" customHeight="1" x14ac:dyDescent="0.2">
      <c r="B21" s="290"/>
      <c r="C21" s="151"/>
      <c r="D21" s="499"/>
      <c r="E21" s="500"/>
      <c r="F21" s="291"/>
      <c r="G21" s="162"/>
      <c r="H21" s="499"/>
      <c r="I21" s="500"/>
      <c r="J21" s="291"/>
      <c r="K21" s="162"/>
      <c r="L21" s="499"/>
      <c r="M21" s="500"/>
      <c r="N21" s="291"/>
      <c r="O21" s="161"/>
      <c r="Q21" s="450"/>
      <c r="R21" s="151"/>
      <c r="S21" s="480" t="str">
        <f>IF(Roster!$P$2=0&amp;BF2,"",Roster!$P$2)</f>
        <v>Always Hungry, Loner (3+), Mighty Blow (+1), Projectile Vomit, Really Stupid, Regeneration, Throw Team-mate</v>
      </c>
      <c r="T21" s="481"/>
      <c r="U21" s="481"/>
      <c r="V21" s="481"/>
      <c r="W21" s="481"/>
      <c r="X21" s="481"/>
      <c r="Y21" s="481"/>
      <c r="Z21" s="481"/>
      <c r="AA21" s="481"/>
      <c r="AB21" s="481"/>
      <c r="AC21" s="482"/>
      <c r="AD21" s="161"/>
      <c r="AF21" s="450"/>
      <c r="AG21" s="151"/>
      <c r="AH21" s="480" t="str">
        <f>IF(Roster!$P$3=0&amp;BF3,"",Roster!$P$3)</f>
        <v>Brawler, Grab</v>
      </c>
      <c r="AI21" s="481"/>
      <c r="AJ21" s="481"/>
      <c r="AK21" s="481"/>
      <c r="AL21" s="481"/>
      <c r="AM21" s="481"/>
      <c r="AN21" s="481"/>
      <c r="AO21" s="481"/>
      <c r="AP21" s="481"/>
      <c r="AQ21" s="481"/>
      <c r="AR21" s="482"/>
      <c r="AS21" s="161"/>
      <c r="AU21" s="450"/>
      <c r="AV21" s="151"/>
      <c r="AW21" s="480" t="str">
        <f>IF(Roster!$P$4=0&amp;BF4,"",Roster!$P$4)</f>
        <v>Brawler, Grab, Juggernaut</v>
      </c>
      <c r="AX21" s="481"/>
      <c r="AY21" s="481"/>
      <c r="AZ21" s="481"/>
      <c r="BA21" s="481"/>
      <c r="BB21" s="481"/>
      <c r="BC21" s="481"/>
      <c r="BD21" s="481"/>
      <c r="BE21" s="481"/>
      <c r="BF21" s="481"/>
      <c r="BG21" s="482"/>
      <c r="BH21" s="161"/>
    </row>
    <row r="22" spans="2:60" ht="11.25" customHeight="1" x14ac:dyDescent="0.2">
      <c r="B22" s="290"/>
      <c r="C22" s="148"/>
      <c r="D22" s="501" t="str">
        <f>IF(Roster!$AE$28=0,"",Roster!$AE$28)</f>
        <v>BIASED REFEREE</v>
      </c>
      <c r="E22" s="296"/>
      <c r="F22" s="297"/>
      <c r="G22" s="162"/>
      <c r="H22" s="501" t="str">
        <f>IF(Roster!$AE$29=0,"",Roster!$AE$29)</f>
        <v>OTHER INDUCEMENTS</v>
      </c>
      <c r="I22" s="296"/>
      <c r="J22" s="297"/>
      <c r="K22" s="162"/>
      <c r="L22" s="477" t="str">
        <f>IF(Roster!$AE$31=0,"",Roster!$AE$31)</f>
        <v>WANDERING APO</v>
      </c>
      <c r="M22" s="296"/>
      <c r="N22" s="297"/>
      <c r="O22" s="162"/>
      <c r="Q22" s="150" t="str">
        <f>IF(Roster!$AO$1=0,"",Roster!$AO$1)</f>
        <v>COST</v>
      </c>
      <c r="R22" s="150"/>
      <c r="S22" s="483"/>
      <c r="T22" s="484"/>
      <c r="U22" s="484"/>
      <c r="V22" s="484"/>
      <c r="W22" s="484"/>
      <c r="X22" s="484"/>
      <c r="Y22" s="484"/>
      <c r="Z22" s="484"/>
      <c r="AA22" s="484"/>
      <c r="AB22" s="484"/>
      <c r="AC22" s="485"/>
      <c r="AD22" s="162"/>
      <c r="AF22" s="150" t="str">
        <f>IF(Roster!$AO$1=0,"",Roster!$AO$1)</f>
        <v>COST</v>
      </c>
      <c r="AG22" s="150"/>
      <c r="AH22" s="483"/>
      <c r="AI22" s="484"/>
      <c r="AJ22" s="484"/>
      <c r="AK22" s="484"/>
      <c r="AL22" s="484"/>
      <c r="AM22" s="484"/>
      <c r="AN22" s="484"/>
      <c r="AO22" s="484"/>
      <c r="AP22" s="484"/>
      <c r="AQ22" s="484"/>
      <c r="AR22" s="485"/>
      <c r="AS22" s="162"/>
      <c r="AU22" s="150" t="str">
        <f>IF(Roster!$AO$1=0,"",Roster!$AO$1)</f>
        <v>COST</v>
      </c>
      <c r="AV22" s="150"/>
      <c r="AW22" s="483"/>
      <c r="AX22" s="484"/>
      <c r="AY22" s="484"/>
      <c r="AZ22" s="484"/>
      <c r="BA22" s="484"/>
      <c r="BB22" s="484"/>
      <c r="BC22" s="484"/>
      <c r="BD22" s="484"/>
      <c r="BE22" s="484"/>
      <c r="BF22" s="484"/>
      <c r="BG22" s="485"/>
      <c r="BH22" s="162"/>
    </row>
    <row r="23" spans="2:60" ht="34.5" customHeight="1" x14ac:dyDescent="0.2">
      <c r="B23" s="450"/>
      <c r="C23" s="163"/>
      <c r="D23" s="502">
        <f>Roster!$AJ$28</f>
        <v>0</v>
      </c>
      <c r="E23" s="296"/>
      <c r="F23" s="297"/>
      <c r="G23" s="162"/>
      <c r="H23" s="502">
        <f>Roster!$AJ$29</f>
        <v>0</v>
      </c>
      <c r="I23" s="296"/>
      <c r="J23" s="297"/>
      <c r="K23" s="162"/>
      <c r="L23" s="502">
        <f>Roster!$AJ$31</f>
        <v>0</v>
      </c>
      <c r="M23" s="296"/>
      <c r="N23" s="297"/>
      <c r="O23" s="162"/>
      <c r="Q23" s="164">
        <f>IF(Roster!$AO$2=0,"",Roster!$AO$2)</f>
        <v>115000</v>
      </c>
      <c r="R23" s="165"/>
      <c r="S23" s="486"/>
      <c r="T23" s="487"/>
      <c r="U23" s="487"/>
      <c r="V23" s="487"/>
      <c r="W23" s="487"/>
      <c r="X23" s="487"/>
      <c r="Y23" s="487"/>
      <c r="Z23" s="487"/>
      <c r="AA23" s="487"/>
      <c r="AB23" s="487"/>
      <c r="AC23" s="488"/>
      <c r="AD23" s="162"/>
      <c r="AF23" s="164">
        <f>IF(Roster!$AO$3=0,"",Roster!$AO$3)</f>
        <v>90000</v>
      </c>
      <c r="AG23" s="165"/>
      <c r="AH23" s="486"/>
      <c r="AI23" s="487"/>
      <c r="AJ23" s="487"/>
      <c r="AK23" s="487"/>
      <c r="AL23" s="487"/>
      <c r="AM23" s="487"/>
      <c r="AN23" s="487"/>
      <c r="AO23" s="487"/>
      <c r="AP23" s="487"/>
      <c r="AQ23" s="487"/>
      <c r="AR23" s="488"/>
      <c r="AS23" s="162"/>
      <c r="AU23" s="164">
        <f>IF(Roster!$AO$4=0,"",Roster!$AO$4)</f>
        <v>100000</v>
      </c>
      <c r="AV23" s="165"/>
      <c r="AW23" s="486"/>
      <c r="AX23" s="487"/>
      <c r="AY23" s="487"/>
      <c r="AZ23" s="487"/>
      <c r="BA23" s="487"/>
      <c r="BB23" s="487"/>
      <c r="BC23" s="487"/>
      <c r="BD23" s="487"/>
      <c r="BE23" s="487"/>
      <c r="BF23" s="487"/>
      <c r="BG23" s="488"/>
      <c r="BH23" s="162"/>
    </row>
    <row r="24" spans="2:60" ht="4.5" customHeight="1" x14ac:dyDescent="0.2">
      <c r="B24" s="503"/>
      <c r="C24" s="296"/>
      <c r="D24" s="296"/>
      <c r="E24" s="296"/>
      <c r="F24" s="296"/>
      <c r="G24" s="296"/>
      <c r="H24" s="296"/>
      <c r="I24" s="296"/>
      <c r="J24" s="296"/>
      <c r="K24" s="296"/>
      <c r="L24" s="296"/>
      <c r="M24" s="296"/>
      <c r="N24" s="297"/>
      <c r="O24" s="162"/>
      <c r="Q24" s="503"/>
      <c r="R24" s="296"/>
      <c r="S24" s="296"/>
      <c r="T24" s="296"/>
      <c r="U24" s="296"/>
      <c r="V24" s="296"/>
      <c r="W24" s="296"/>
      <c r="X24" s="296"/>
      <c r="Y24" s="296"/>
      <c r="Z24" s="296"/>
      <c r="AA24" s="296"/>
      <c r="AB24" s="296"/>
      <c r="AC24" s="297"/>
      <c r="AD24" s="162"/>
      <c r="AF24" s="503"/>
      <c r="AG24" s="296"/>
      <c r="AH24" s="296"/>
      <c r="AI24" s="296"/>
      <c r="AJ24" s="296"/>
      <c r="AK24" s="296"/>
      <c r="AL24" s="296"/>
      <c r="AM24" s="296"/>
      <c r="AN24" s="296"/>
      <c r="AO24" s="296"/>
      <c r="AP24" s="296"/>
      <c r="AQ24" s="296"/>
      <c r="AR24" s="297"/>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8" t="str">
        <f>IF(Roster!$A$5=0,"","#"&amp;Roster!$A$5)</f>
        <v>#4</v>
      </c>
      <c r="C26" s="146"/>
      <c r="D26" s="146"/>
      <c r="E26" s="146"/>
      <c r="F26" s="146"/>
      <c r="G26" s="146"/>
      <c r="H26" s="146"/>
      <c r="I26" s="146"/>
      <c r="J26" s="146"/>
      <c r="K26" s="146"/>
      <c r="L26" s="146"/>
      <c r="M26" s="146"/>
      <c r="N26" s="146"/>
      <c r="O26" s="146"/>
      <c r="Q26" s="478" t="str">
        <f>IF(Roster!$A$6=0,"","#"&amp;Roster!$A$6)</f>
        <v>#5</v>
      </c>
      <c r="R26" s="146"/>
      <c r="S26" s="146"/>
      <c r="T26" s="146"/>
      <c r="U26" s="146"/>
      <c r="V26" s="146"/>
      <c r="W26" s="146"/>
      <c r="X26" s="146"/>
      <c r="Y26" s="146"/>
      <c r="Z26" s="146"/>
      <c r="AA26" s="146"/>
      <c r="AB26" s="146"/>
      <c r="AC26" s="146"/>
      <c r="AD26" s="146"/>
      <c r="AF26" s="478" t="str">
        <f>IF(Roster!$A$7=0,"","#"&amp;Roster!$A$7)</f>
        <v>#6</v>
      </c>
      <c r="AG26" s="146"/>
      <c r="AH26" s="146"/>
      <c r="AI26" s="146"/>
      <c r="AJ26" s="146"/>
      <c r="AK26" s="146"/>
      <c r="AL26" s="146"/>
      <c r="AM26" s="146"/>
      <c r="AN26" s="146"/>
      <c r="AO26" s="146"/>
      <c r="AP26" s="146"/>
      <c r="AQ26" s="146"/>
      <c r="AR26" s="146"/>
      <c r="AS26" s="146"/>
      <c r="AU26" s="478"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1" t="str">
        <f>IF(Roster!$B$5=0,"",Roster!$B$5)</f>
        <v>Cheeriorcs</v>
      </c>
      <c r="D27" s="296"/>
      <c r="E27" s="296"/>
      <c r="F27" s="296"/>
      <c r="G27" s="296"/>
      <c r="H27" s="296"/>
      <c r="I27" s="296"/>
      <c r="J27" s="296"/>
      <c r="K27" s="296"/>
      <c r="L27" s="296"/>
      <c r="M27" s="296"/>
      <c r="N27" s="297"/>
      <c r="O27" s="146"/>
      <c r="Q27" s="290"/>
      <c r="R27" s="471" t="str">
        <f>IF(Roster!$B$6=0,"",Roster!$B$6)</f>
        <v>Orc Flakes</v>
      </c>
      <c r="S27" s="296"/>
      <c r="T27" s="296"/>
      <c r="U27" s="296"/>
      <c r="V27" s="296"/>
      <c r="W27" s="296"/>
      <c r="X27" s="296"/>
      <c r="Y27" s="296"/>
      <c r="Z27" s="296"/>
      <c r="AA27" s="296"/>
      <c r="AB27" s="296"/>
      <c r="AC27" s="297"/>
      <c r="AD27" s="146"/>
      <c r="AF27" s="290"/>
      <c r="AG27" s="471" t="str">
        <f>IF(Roster!$B$7=0,"",Roster!$B$7)</f>
        <v>Mizura</v>
      </c>
      <c r="AH27" s="296"/>
      <c r="AI27" s="296"/>
      <c r="AJ27" s="296"/>
      <c r="AK27" s="296"/>
      <c r="AL27" s="296"/>
      <c r="AM27" s="296"/>
      <c r="AN27" s="296"/>
      <c r="AO27" s="296"/>
      <c r="AP27" s="296"/>
      <c r="AQ27" s="296"/>
      <c r="AR27" s="297"/>
      <c r="AS27" s="146"/>
      <c r="AU27" s="290"/>
      <c r="AV27" s="471" t="str">
        <f>IF(Roster!$B$8=0,"",Roster!$B$8)</f>
        <v>Froztie</v>
      </c>
      <c r="AW27" s="296"/>
      <c r="AX27" s="296"/>
      <c r="AY27" s="296"/>
      <c r="AZ27" s="296"/>
      <c r="BA27" s="296"/>
      <c r="BB27" s="296"/>
      <c r="BC27" s="296"/>
      <c r="BD27" s="296"/>
      <c r="BE27" s="296"/>
      <c r="BF27" s="296"/>
      <c r="BG27" s="297"/>
      <c r="BH27" s="146"/>
    </row>
    <row r="28" spans="2:60" ht="11.25" customHeight="1" x14ac:dyDescent="0.2">
      <c r="B28" s="450"/>
      <c r="C28" s="477" t="str">
        <f>IF(Roster!$D$5=0,"",Roster!$D$5)</f>
        <v>Black Orc</v>
      </c>
      <c r="D28" s="296"/>
      <c r="E28" s="296"/>
      <c r="F28" s="296"/>
      <c r="G28" s="296"/>
      <c r="H28" s="296"/>
      <c r="I28" s="296"/>
      <c r="J28" s="296"/>
      <c r="K28" s="296"/>
      <c r="L28" s="296"/>
      <c r="M28" s="296"/>
      <c r="N28" s="297"/>
      <c r="O28" s="147"/>
      <c r="Q28" s="450"/>
      <c r="R28" s="477" t="str">
        <f>IF(Roster!$D$6=0,"",Roster!$D$6)</f>
        <v>Black Orc</v>
      </c>
      <c r="S28" s="296"/>
      <c r="T28" s="296"/>
      <c r="U28" s="296"/>
      <c r="V28" s="296"/>
      <c r="W28" s="296"/>
      <c r="X28" s="296"/>
      <c r="Y28" s="296"/>
      <c r="Z28" s="296"/>
      <c r="AA28" s="296"/>
      <c r="AB28" s="296"/>
      <c r="AC28" s="297"/>
      <c r="AD28" s="147"/>
      <c r="AF28" s="450"/>
      <c r="AG28" s="477" t="str">
        <f>IF(Roster!$D$7=0,"",Roster!$D$7)</f>
        <v>Black Orc</v>
      </c>
      <c r="AH28" s="296"/>
      <c r="AI28" s="296"/>
      <c r="AJ28" s="296"/>
      <c r="AK28" s="296"/>
      <c r="AL28" s="296"/>
      <c r="AM28" s="296"/>
      <c r="AN28" s="296"/>
      <c r="AO28" s="296"/>
      <c r="AP28" s="296"/>
      <c r="AQ28" s="296"/>
      <c r="AR28" s="297"/>
      <c r="AS28" s="147"/>
      <c r="AU28" s="450"/>
      <c r="AV28" s="477" t="str">
        <f>IF(Roster!$D$8=0,"",Roster!$D$8)</f>
        <v>Black Orc</v>
      </c>
      <c r="AW28" s="296"/>
      <c r="AX28" s="296"/>
      <c r="AY28" s="296"/>
      <c r="AZ28" s="296"/>
      <c r="BA28" s="296"/>
      <c r="BB28" s="296"/>
      <c r="BC28" s="296"/>
      <c r="BD28" s="296"/>
      <c r="BE28" s="296"/>
      <c r="BF28" s="296"/>
      <c r="BG28" s="297"/>
      <c r="BH28" s="147"/>
    </row>
    <row r="29" spans="2:60" ht="11.25" customHeight="1" x14ac:dyDescent="0.2">
      <c r="B29" s="150" t="str">
        <f>IF(Roster!$K$1=0,"",Roster!$K$1)</f>
        <v>MA</v>
      </c>
      <c r="C29" s="149"/>
      <c r="D29" s="490"/>
      <c r="E29" s="490"/>
      <c r="F29" s="490"/>
      <c r="G29" s="490"/>
      <c r="H29" s="490"/>
      <c r="I29" s="490"/>
      <c r="J29" s="490"/>
      <c r="K29" s="490"/>
      <c r="L29" s="490"/>
      <c r="M29" s="490"/>
      <c r="N29" s="490"/>
      <c r="O29" s="146"/>
      <c r="Q29" s="150" t="str">
        <f>IF(Roster!$K$1=0,"",Roster!$K$1)</f>
        <v>MA</v>
      </c>
      <c r="R29" s="149"/>
      <c r="S29" s="490"/>
      <c r="T29" s="490"/>
      <c r="U29" s="490"/>
      <c r="V29" s="490"/>
      <c r="W29" s="490"/>
      <c r="X29" s="490"/>
      <c r="Y29" s="490"/>
      <c r="Z29" s="490"/>
      <c r="AA29" s="490"/>
      <c r="AB29" s="490"/>
      <c r="AC29" s="490"/>
      <c r="AD29" s="146"/>
      <c r="AF29" s="150" t="str">
        <f>IF(Roster!$K$1=0,"",Roster!$K$1)</f>
        <v>MA</v>
      </c>
      <c r="AG29" s="149"/>
      <c r="AH29" s="490"/>
      <c r="AI29" s="490"/>
      <c r="AJ29" s="490"/>
      <c r="AK29" s="490"/>
      <c r="AL29" s="490"/>
      <c r="AM29" s="490"/>
      <c r="AN29" s="490"/>
      <c r="AO29" s="490"/>
      <c r="AP29" s="490"/>
      <c r="AQ29" s="490"/>
      <c r="AR29" s="490"/>
      <c r="AS29" s="146"/>
      <c r="AU29" s="150" t="str">
        <f>IF(Roster!$K$1=0,"",Roster!$K$1)</f>
        <v>MA</v>
      </c>
      <c r="AV29" s="149"/>
      <c r="AW29" s="490"/>
      <c r="AX29" s="490"/>
      <c r="AY29" s="490"/>
      <c r="AZ29" s="490"/>
      <c r="BA29" s="490"/>
      <c r="BB29" s="490"/>
      <c r="BC29" s="490"/>
      <c r="BD29" s="490"/>
      <c r="BE29" s="490"/>
      <c r="BF29" s="490"/>
      <c r="BG29" s="490"/>
      <c r="BH29" s="146"/>
    </row>
    <row r="30" spans="2:60" ht="37.5" customHeight="1" x14ac:dyDescent="0.2">
      <c r="B30" s="152">
        <f>IF(Roster!$K$5=0,"",Roster!$K$5)</f>
        <v>4</v>
      </c>
      <c r="C30" s="149"/>
      <c r="D30" s="490"/>
      <c r="E30" s="490"/>
      <c r="F30" s="490"/>
      <c r="G30" s="490"/>
      <c r="H30" s="490"/>
      <c r="I30" s="490"/>
      <c r="J30" s="490"/>
      <c r="K30" s="490"/>
      <c r="L30" s="490"/>
      <c r="M30" s="490"/>
      <c r="N30" s="490"/>
      <c r="O30" s="146"/>
      <c r="Q30" s="152">
        <f>IF(Roster!$K$6=0,"",Roster!$K$6)</f>
        <v>4</v>
      </c>
      <c r="R30" s="149"/>
      <c r="S30" s="490"/>
      <c r="T30" s="490"/>
      <c r="U30" s="490"/>
      <c r="V30" s="490"/>
      <c r="W30" s="490"/>
      <c r="X30" s="490"/>
      <c r="Y30" s="490"/>
      <c r="Z30" s="490"/>
      <c r="AA30" s="490"/>
      <c r="AB30" s="490"/>
      <c r="AC30" s="490"/>
      <c r="AD30" s="146"/>
      <c r="AF30" s="152">
        <f>IF(Roster!$K$7=0,"",Roster!$K$7)</f>
        <v>4</v>
      </c>
      <c r="AG30" s="149"/>
      <c r="AH30" s="490"/>
      <c r="AI30" s="490"/>
      <c r="AJ30" s="490"/>
      <c r="AK30" s="490"/>
      <c r="AL30" s="490"/>
      <c r="AM30" s="490"/>
      <c r="AN30" s="490"/>
      <c r="AO30" s="490"/>
      <c r="AP30" s="490"/>
      <c r="AQ30" s="490"/>
      <c r="AR30" s="490"/>
      <c r="AS30" s="146"/>
      <c r="AU30" s="152">
        <f>IF(Roster!$K$8=0,"",Roster!$K$8)</f>
        <v>4</v>
      </c>
      <c r="AV30" s="149"/>
      <c r="AW30" s="490"/>
      <c r="AX30" s="490"/>
      <c r="AY30" s="490"/>
      <c r="AZ30" s="490"/>
      <c r="BA30" s="490"/>
      <c r="BB30" s="490"/>
      <c r="BC30" s="490"/>
      <c r="BD30" s="490"/>
      <c r="BE30" s="490"/>
      <c r="BF30" s="490"/>
      <c r="BG30" s="490"/>
      <c r="BH30" s="146"/>
    </row>
    <row r="31" spans="2:60" ht="11.25" customHeight="1" x14ac:dyDescent="0.2">
      <c r="B31" s="150" t="str">
        <f>IF(Roster!$L$1=0,"",Roster!$L$1)</f>
        <v>ST</v>
      </c>
      <c r="C31" s="149"/>
      <c r="D31" s="490"/>
      <c r="E31" s="490"/>
      <c r="F31" s="490"/>
      <c r="G31" s="490"/>
      <c r="H31" s="490"/>
      <c r="I31" s="490"/>
      <c r="J31" s="490"/>
      <c r="K31" s="490"/>
      <c r="L31" s="490"/>
      <c r="M31" s="490"/>
      <c r="N31" s="490"/>
      <c r="O31" s="146"/>
      <c r="Q31" s="150" t="str">
        <f>IF(Roster!$L$1=0,"",Roster!$L$1)</f>
        <v>ST</v>
      </c>
      <c r="R31" s="149"/>
      <c r="S31" s="490"/>
      <c r="T31" s="490"/>
      <c r="U31" s="490"/>
      <c r="V31" s="490"/>
      <c r="W31" s="490"/>
      <c r="X31" s="490"/>
      <c r="Y31" s="490"/>
      <c r="Z31" s="490"/>
      <c r="AA31" s="490"/>
      <c r="AB31" s="490"/>
      <c r="AC31" s="490"/>
      <c r="AD31" s="146"/>
      <c r="AF31" s="150" t="str">
        <f>IF(Roster!$L$1=0,"",Roster!$L$1)</f>
        <v>ST</v>
      </c>
      <c r="AG31" s="149"/>
      <c r="AH31" s="490"/>
      <c r="AI31" s="490"/>
      <c r="AJ31" s="490"/>
      <c r="AK31" s="490"/>
      <c r="AL31" s="490"/>
      <c r="AM31" s="490"/>
      <c r="AN31" s="490"/>
      <c r="AO31" s="490"/>
      <c r="AP31" s="490"/>
      <c r="AQ31" s="490"/>
      <c r="AR31" s="490"/>
      <c r="AS31" s="146"/>
      <c r="AU31" s="150" t="str">
        <f>IF(Roster!$L$1=0,"",Roster!$L$1)</f>
        <v>ST</v>
      </c>
      <c r="AV31" s="149"/>
      <c r="AW31" s="490"/>
      <c r="AX31" s="490"/>
      <c r="AY31" s="490"/>
      <c r="AZ31" s="490"/>
      <c r="BA31" s="490"/>
      <c r="BB31" s="490"/>
      <c r="BC31" s="490"/>
      <c r="BD31" s="490"/>
      <c r="BE31" s="490"/>
      <c r="BF31" s="490"/>
      <c r="BG31" s="490"/>
      <c r="BH31" s="146"/>
    </row>
    <row r="32" spans="2:60" ht="37.5" customHeight="1" x14ac:dyDescent="0.2">
      <c r="B32" s="152">
        <f>IF(Roster!$L$5=0,"",Roster!$L$5)</f>
        <v>4</v>
      </c>
      <c r="C32" s="149"/>
      <c r="D32" s="490"/>
      <c r="E32" s="490"/>
      <c r="F32" s="490"/>
      <c r="G32" s="490"/>
      <c r="H32" s="490"/>
      <c r="I32" s="490"/>
      <c r="J32" s="490"/>
      <c r="K32" s="490"/>
      <c r="L32" s="490"/>
      <c r="M32" s="490"/>
      <c r="N32" s="490"/>
      <c r="O32" s="146"/>
      <c r="Q32" s="152">
        <f>IF(Roster!$L$6=0,"",Roster!$L$6)</f>
        <v>4</v>
      </c>
      <c r="R32" s="149"/>
      <c r="S32" s="490"/>
      <c r="T32" s="490"/>
      <c r="U32" s="490"/>
      <c r="V32" s="490"/>
      <c r="W32" s="490"/>
      <c r="X32" s="490"/>
      <c r="Y32" s="490"/>
      <c r="Z32" s="490"/>
      <c r="AA32" s="490"/>
      <c r="AB32" s="490"/>
      <c r="AC32" s="490"/>
      <c r="AD32" s="146"/>
      <c r="AF32" s="152">
        <f>IF(Roster!$L$7=0,"",Roster!$L$7)</f>
        <v>4</v>
      </c>
      <c r="AG32" s="149"/>
      <c r="AH32" s="490"/>
      <c r="AI32" s="490"/>
      <c r="AJ32" s="490"/>
      <c r="AK32" s="490"/>
      <c r="AL32" s="490"/>
      <c r="AM32" s="490"/>
      <c r="AN32" s="490"/>
      <c r="AO32" s="490"/>
      <c r="AP32" s="490"/>
      <c r="AQ32" s="490"/>
      <c r="AR32" s="490"/>
      <c r="AS32" s="146"/>
      <c r="AU32" s="152">
        <f>IF(Roster!$L$8=0,"",Roster!$L$8)</f>
        <v>4</v>
      </c>
      <c r="AV32" s="149"/>
      <c r="AW32" s="490"/>
      <c r="AX32" s="490"/>
      <c r="AY32" s="490"/>
      <c r="AZ32" s="490"/>
      <c r="BA32" s="490"/>
      <c r="BB32" s="490"/>
      <c r="BC32" s="490"/>
      <c r="BD32" s="490"/>
      <c r="BE32" s="490"/>
      <c r="BF32" s="490"/>
      <c r="BG32" s="490"/>
      <c r="BH32" s="146"/>
    </row>
    <row r="33" spans="2:60" ht="11.25" customHeight="1" x14ac:dyDescent="0.2">
      <c r="B33" s="150" t="str">
        <f>IF(Roster!$M$1=0,"",Roster!$M$1)</f>
        <v>AG</v>
      </c>
      <c r="C33" s="149"/>
      <c r="D33" s="490"/>
      <c r="E33" s="490"/>
      <c r="F33" s="490"/>
      <c r="G33" s="490"/>
      <c r="H33" s="490"/>
      <c r="I33" s="490"/>
      <c r="J33" s="490"/>
      <c r="K33" s="490"/>
      <c r="L33" s="490"/>
      <c r="M33" s="490"/>
      <c r="N33" s="490"/>
      <c r="O33" s="146"/>
      <c r="Q33" s="150" t="str">
        <f>IF(Roster!$M$1=0,"",Roster!$M$1)</f>
        <v>AG</v>
      </c>
      <c r="R33" s="149"/>
      <c r="S33" s="490"/>
      <c r="T33" s="490"/>
      <c r="U33" s="490"/>
      <c r="V33" s="490"/>
      <c r="W33" s="490"/>
      <c r="X33" s="490"/>
      <c r="Y33" s="490"/>
      <c r="Z33" s="490"/>
      <c r="AA33" s="490"/>
      <c r="AB33" s="490"/>
      <c r="AC33" s="490"/>
      <c r="AD33" s="146"/>
      <c r="AF33" s="150" t="str">
        <f>IF(Roster!$M$1=0,"",Roster!$M$1)</f>
        <v>AG</v>
      </c>
      <c r="AG33" s="149"/>
      <c r="AH33" s="490"/>
      <c r="AI33" s="490"/>
      <c r="AJ33" s="490"/>
      <c r="AK33" s="490"/>
      <c r="AL33" s="490"/>
      <c r="AM33" s="490"/>
      <c r="AN33" s="490"/>
      <c r="AO33" s="490"/>
      <c r="AP33" s="490"/>
      <c r="AQ33" s="490"/>
      <c r="AR33" s="490"/>
      <c r="AS33" s="146"/>
      <c r="AU33" s="150" t="str">
        <f>IF(Roster!$M$1=0,"",Roster!$M$1)</f>
        <v>AG</v>
      </c>
      <c r="AV33" s="149"/>
      <c r="AW33" s="490"/>
      <c r="AX33" s="490"/>
      <c r="AY33" s="490"/>
      <c r="AZ33" s="490"/>
      <c r="BA33" s="490"/>
      <c r="BB33" s="490"/>
      <c r="BC33" s="490"/>
      <c r="BD33" s="490"/>
      <c r="BE33" s="490"/>
      <c r="BF33" s="490"/>
      <c r="BG33" s="490"/>
      <c r="BH33" s="146"/>
    </row>
    <row r="34" spans="2:60" ht="37.5" customHeight="1" x14ac:dyDescent="0.2">
      <c r="B34" s="152" t="str">
        <f>IF(Roster!$M$5=0&amp;"+","",Roster!$M$5)</f>
        <v>4+</v>
      </c>
      <c r="C34" s="149"/>
      <c r="D34" s="490"/>
      <c r="E34" s="490"/>
      <c r="F34" s="490"/>
      <c r="G34" s="490"/>
      <c r="H34" s="490"/>
      <c r="I34" s="490"/>
      <c r="J34" s="490"/>
      <c r="K34" s="490"/>
      <c r="L34" s="490"/>
      <c r="M34" s="490"/>
      <c r="N34" s="490"/>
      <c r="O34" s="146"/>
      <c r="Q34" s="152" t="str">
        <f>IF(Roster!$M$6=0&amp;"+","",Roster!$M$6)</f>
        <v>4+</v>
      </c>
      <c r="R34" s="149"/>
      <c r="S34" s="490"/>
      <c r="T34" s="490"/>
      <c r="U34" s="490"/>
      <c r="V34" s="490"/>
      <c r="W34" s="490"/>
      <c r="X34" s="490"/>
      <c r="Y34" s="490"/>
      <c r="Z34" s="490"/>
      <c r="AA34" s="490"/>
      <c r="AB34" s="490"/>
      <c r="AC34" s="490"/>
      <c r="AD34" s="146"/>
      <c r="AF34" s="152" t="str">
        <f>IF(Roster!$M$7=0&amp;"+","",Roster!$M$7)</f>
        <v>4+</v>
      </c>
      <c r="AG34" s="149"/>
      <c r="AH34" s="490"/>
      <c r="AI34" s="490"/>
      <c r="AJ34" s="490"/>
      <c r="AK34" s="490"/>
      <c r="AL34" s="490"/>
      <c r="AM34" s="490"/>
      <c r="AN34" s="490"/>
      <c r="AO34" s="490"/>
      <c r="AP34" s="490"/>
      <c r="AQ34" s="490"/>
      <c r="AR34" s="490"/>
      <c r="AS34" s="146"/>
      <c r="AU34" s="152" t="str">
        <f>IF(Roster!$M$8=0&amp;"+","",Roster!$M$8)</f>
        <v>4+</v>
      </c>
      <c r="AV34" s="149"/>
      <c r="AW34" s="490"/>
      <c r="AX34" s="490"/>
      <c r="AY34" s="490"/>
      <c r="AZ34" s="490"/>
      <c r="BA34" s="490"/>
      <c r="BB34" s="490"/>
      <c r="BC34" s="490"/>
      <c r="BD34" s="490"/>
      <c r="BE34" s="490"/>
      <c r="BF34" s="490"/>
      <c r="BG34" s="490"/>
      <c r="BH34" s="146"/>
    </row>
    <row r="35" spans="2:60" ht="11.25" customHeight="1" x14ac:dyDescent="0.2">
      <c r="B35" s="150" t="str">
        <f>IF(Roster!$N$1=0,"",Roster!$N$1)</f>
        <v>PA</v>
      </c>
      <c r="C35" s="149"/>
      <c r="D35" s="490"/>
      <c r="E35" s="490"/>
      <c r="F35" s="490"/>
      <c r="G35" s="490"/>
      <c r="H35" s="490"/>
      <c r="I35" s="490"/>
      <c r="J35" s="490"/>
      <c r="K35" s="490"/>
      <c r="L35" s="490"/>
      <c r="M35" s="490"/>
      <c r="N35" s="490"/>
      <c r="O35" s="155"/>
      <c r="Q35" s="150" t="str">
        <f>IF(Roster!$N$1=0,"",Roster!$N$1)</f>
        <v>PA</v>
      </c>
      <c r="R35" s="149"/>
      <c r="S35" s="490"/>
      <c r="T35" s="490"/>
      <c r="U35" s="490"/>
      <c r="V35" s="490"/>
      <c r="W35" s="490"/>
      <c r="X35" s="490"/>
      <c r="Y35" s="490"/>
      <c r="Z35" s="490"/>
      <c r="AA35" s="490"/>
      <c r="AB35" s="490"/>
      <c r="AC35" s="490"/>
      <c r="AD35" s="155"/>
      <c r="AF35" s="150" t="str">
        <f>IF(Roster!$N$1=0,"",Roster!$N$1)</f>
        <v>PA</v>
      </c>
      <c r="AG35" s="149"/>
      <c r="AH35" s="490"/>
      <c r="AI35" s="490"/>
      <c r="AJ35" s="490"/>
      <c r="AK35" s="490"/>
      <c r="AL35" s="490"/>
      <c r="AM35" s="490"/>
      <c r="AN35" s="490"/>
      <c r="AO35" s="490"/>
      <c r="AP35" s="490"/>
      <c r="AQ35" s="490"/>
      <c r="AR35" s="490"/>
      <c r="AS35" s="155"/>
      <c r="AU35" s="150" t="str">
        <f>IF(Roster!$N$1=0,"",Roster!$N$1)</f>
        <v>PA</v>
      </c>
      <c r="AV35" s="149"/>
      <c r="AW35" s="490"/>
      <c r="AX35" s="490"/>
      <c r="AY35" s="490"/>
      <c r="AZ35" s="490"/>
      <c r="BA35" s="490"/>
      <c r="BB35" s="490"/>
      <c r="BC35" s="490"/>
      <c r="BD35" s="490"/>
      <c r="BE35" s="490"/>
      <c r="BF35" s="490"/>
      <c r="BG35" s="490"/>
      <c r="BH35" s="155"/>
    </row>
    <row r="36" spans="2:60" ht="6" customHeight="1" x14ac:dyDescent="0.2">
      <c r="B36" s="479" t="str">
        <f>IF(Roster!$N$5=0&amp;"+","",Roster!$N$5)</f>
        <v>5+</v>
      </c>
      <c r="C36" s="149"/>
      <c r="D36" s="490"/>
      <c r="E36" s="490"/>
      <c r="F36" s="490"/>
      <c r="G36" s="490"/>
      <c r="H36" s="490"/>
      <c r="I36" s="490"/>
      <c r="J36" s="490"/>
      <c r="K36" s="490"/>
      <c r="L36" s="490"/>
      <c r="M36" s="490"/>
      <c r="N36" s="490"/>
      <c r="O36" s="157"/>
      <c r="Q36" s="479" t="str">
        <f>IF(Roster!$N$6=0&amp;"+","",Roster!$N$6)</f>
        <v>5+</v>
      </c>
      <c r="R36" s="149"/>
      <c r="S36" s="490"/>
      <c r="T36" s="490"/>
      <c r="U36" s="490"/>
      <c r="V36" s="490"/>
      <c r="W36" s="490"/>
      <c r="X36" s="490"/>
      <c r="Y36" s="490"/>
      <c r="Z36" s="490"/>
      <c r="AA36" s="490"/>
      <c r="AB36" s="490"/>
      <c r="AC36" s="490"/>
      <c r="AD36" s="157"/>
      <c r="AF36" s="479" t="str">
        <f>IF(Roster!$N$7=0&amp;"+","",Roster!$N$7)</f>
        <v>5+</v>
      </c>
      <c r="AG36" s="149"/>
      <c r="AH36" s="490"/>
      <c r="AI36" s="490"/>
      <c r="AJ36" s="490"/>
      <c r="AK36" s="490"/>
      <c r="AL36" s="490"/>
      <c r="AM36" s="490"/>
      <c r="AN36" s="490"/>
      <c r="AO36" s="490"/>
      <c r="AP36" s="490"/>
      <c r="AQ36" s="490"/>
      <c r="AR36" s="490"/>
      <c r="AS36" s="157"/>
      <c r="AU36" s="479" t="str">
        <f>IF(Roster!$N$8=0&amp;"+","",Roster!$N$8)</f>
        <v>5+</v>
      </c>
      <c r="AV36" s="149"/>
      <c r="AW36" s="490"/>
      <c r="AX36" s="490"/>
      <c r="AY36" s="490"/>
      <c r="AZ36" s="490"/>
      <c r="BA36" s="490"/>
      <c r="BB36" s="490"/>
      <c r="BC36" s="490"/>
      <c r="BD36" s="490"/>
      <c r="BE36" s="490"/>
      <c r="BF36" s="490"/>
      <c r="BG36" s="490"/>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0"/>
      <c r="C40" s="151"/>
      <c r="D40" s="160"/>
      <c r="E40" s="151"/>
      <c r="F40" s="160"/>
      <c r="G40" s="151"/>
      <c r="H40" s="160"/>
      <c r="I40" s="151"/>
      <c r="J40" s="160"/>
      <c r="K40" s="151"/>
      <c r="L40" s="160"/>
      <c r="M40" s="151"/>
      <c r="N40" s="160"/>
      <c r="O40" s="157"/>
      <c r="Q40" s="450"/>
      <c r="R40" s="151"/>
      <c r="S40" s="160"/>
      <c r="T40" s="151"/>
      <c r="U40" s="160"/>
      <c r="V40" s="151"/>
      <c r="W40" s="160"/>
      <c r="X40" s="151"/>
      <c r="Y40" s="160"/>
      <c r="Z40" s="151"/>
      <c r="AA40" s="160"/>
      <c r="AB40" s="151"/>
      <c r="AC40" s="160"/>
      <c r="AD40" s="157"/>
      <c r="AF40" s="450"/>
      <c r="AG40" s="151"/>
      <c r="AH40" s="160"/>
      <c r="AI40" s="151"/>
      <c r="AJ40" s="160"/>
      <c r="AK40" s="151"/>
      <c r="AL40" s="160"/>
      <c r="AM40" s="151"/>
      <c r="AN40" s="160"/>
      <c r="AO40" s="151"/>
      <c r="AP40" s="160"/>
      <c r="AQ40" s="151"/>
      <c r="AR40" s="160"/>
      <c r="AS40" s="157"/>
      <c r="AU40" s="450"/>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9" t="str">
        <f>IF(Roster!$O$5=0&amp;"+","",Roster!$O$5)</f>
        <v>10+</v>
      </c>
      <c r="C42" s="151"/>
      <c r="D42" s="159" t="str">
        <f>IF(Roster!$AE$5=0,"",Roster!$AE$5)</f>
        <v/>
      </c>
      <c r="E42" s="151"/>
      <c r="F42" s="159" t="str">
        <f>IF(Roster!$AF$5=0,"",Roster!$AF$5)</f>
        <v/>
      </c>
      <c r="G42" s="151"/>
      <c r="H42" s="159" t="str">
        <f>IF(Roster!$AB$5=0,"",Roster!$AB$5)</f>
        <v/>
      </c>
      <c r="I42" s="151"/>
      <c r="J42" s="159">
        <f>IF(Roster!$AJ$5=0,"",Roster!$AJ$5)</f>
        <v>1</v>
      </c>
      <c r="K42" s="151"/>
      <c r="L42" s="159">
        <f>IF(Roster!$AK$5=0,"",Roster!$AK$5)</f>
        <v>4</v>
      </c>
      <c r="M42" s="151"/>
      <c r="N42" s="159" t="str">
        <f>IF(Roster!$AA$5=0,"",Roster!$AA$5)</f>
        <v/>
      </c>
      <c r="O42" s="161"/>
      <c r="Q42" s="479" t="str">
        <f>IF(Roster!$O$6=0&amp;"+","",Roster!$O$6)</f>
        <v>10+</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9" t="str">
        <f>IF(Roster!$O$7=0&amp;"+","",Roster!$O$7)</f>
        <v>10+</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9" t="str">
        <f>IF(Roster!$O$8=0&amp;"+","",Roster!$O$8)</f>
        <v>10+</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6" t="str">
        <f>IF(Roster!$K$25="Italiano","ABILITÀ &amp; TRATTI",(IF(Roster!$K$25="Español","HABILIDADES Y RASGOS","SKILLS &amp; TRAITS")))</f>
        <v>SKILLS &amp; TRAITS</v>
      </c>
      <c r="E44" s="296"/>
      <c r="F44" s="296"/>
      <c r="G44" s="296"/>
      <c r="H44" s="296"/>
      <c r="I44" s="296"/>
      <c r="J44" s="296"/>
      <c r="K44" s="296"/>
      <c r="L44" s="296"/>
      <c r="M44" s="296"/>
      <c r="N44" s="297"/>
      <c r="O44" s="161"/>
      <c r="Q44" s="290"/>
      <c r="R44" s="151"/>
      <c r="S44" s="476" t="str">
        <f>IF(Roster!$K$25="Italiano","ABILITÀ &amp; TRATTI",(IF(Roster!$K$25="Español","HABILIDADES Y RASGOS","SKILLS &amp; TRAITS")))</f>
        <v>SKILLS &amp; TRAITS</v>
      </c>
      <c r="T44" s="296"/>
      <c r="U44" s="296"/>
      <c r="V44" s="296"/>
      <c r="W44" s="296"/>
      <c r="X44" s="296"/>
      <c r="Y44" s="296"/>
      <c r="Z44" s="296"/>
      <c r="AA44" s="296"/>
      <c r="AB44" s="296"/>
      <c r="AC44" s="297"/>
      <c r="AD44" s="161"/>
      <c r="AF44" s="290"/>
      <c r="AG44" s="151"/>
      <c r="AH44" s="476" t="str">
        <f>IF(Roster!$K$25="Italiano","ABILITÀ &amp; TRATTI",(IF(Roster!$K$25="Español","HABILIDADES Y RASGOS","SKILLS &amp; TRAITS")))</f>
        <v>SKILLS &amp; TRAITS</v>
      </c>
      <c r="AI44" s="296"/>
      <c r="AJ44" s="296"/>
      <c r="AK44" s="296"/>
      <c r="AL44" s="296"/>
      <c r="AM44" s="296"/>
      <c r="AN44" s="296"/>
      <c r="AO44" s="296"/>
      <c r="AP44" s="296"/>
      <c r="AQ44" s="296"/>
      <c r="AR44" s="297"/>
      <c r="AS44" s="161"/>
      <c r="AU44" s="290"/>
      <c r="AV44" s="151"/>
      <c r="AW44" s="476" t="str">
        <f>IF(Roster!$K$25="Italiano","ABILITÀ &amp; TRATTI",(IF(Roster!$K$25="Español","HABILIDADES Y RASGOS","SKILLS &amp; TRAITS")))</f>
        <v>SKILLS &amp; TRAITS</v>
      </c>
      <c r="AX44" s="296"/>
      <c r="AY44" s="296"/>
      <c r="AZ44" s="296"/>
      <c r="BA44" s="296"/>
      <c r="BB44" s="296"/>
      <c r="BC44" s="296"/>
      <c r="BD44" s="296"/>
      <c r="BE44" s="296"/>
      <c r="BF44" s="296"/>
      <c r="BG44" s="297"/>
      <c r="BH44" s="161"/>
    </row>
    <row r="45" spans="2:60" ht="6.75" customHeight="1" x14ac:dyDescent="0.2">
      <c r="B45" s="450"/>
      <c r="C45" s="151"/>
      <c r="D45" s="480" t="str">
        <f>IF(Roster!$P$5=0&amp;BF5,"",Roster!$P$5)</f>
        <v>Brawler, Grab, Arm Bar</v>
      </c>
      <c r="E45" s="481"/>
      <c r="F45" s="481"/>
      <c r="G45" s="481"/>
      <c r="H45" s="481"/>
      <c r="I45" s="481"/>
      <c r="J45" s="481"/>
      <c r="K45" s="481"/>
      <c r="L45" s="481"/>
      <c r="M45" s="481"/>
      <c r="N45" s="482"/>
      <c r="O45" s="161"/>
      <c r="Q45" s="450"/>
      <c r="R45" s="151"/>
      <c r="S45" s="480" t="str">
        <f>IF(Roster!$P$6=0&amp;BF6,"",Roster!$P$6)</f>
        <v>Brawler, Grab</v>
      </c>
      <c r="T45" s="481"/>
      <c r="U45" s="481"/>
      <c r="V45" s="481"/>
      <c r="W45" s="481"/>
      <c r="X45" s="481"/>
      <c r="Y45" s="481"/>
      <c r="Z45" s="481"/>
      <c r="AA45" s="481"/>
      <c r="AB45" s="481"/>
      <c r="AC45" s="482"/>
      <c r="AD45" s="161"/>
      <c r="AF45" s="450"/>
      <c r="AG45" s="151"/>
      <c r="AH45" s="480" t="str">
        <f>IF(Roster!$P$7=0&amp;BF7,"",Roster!$P$7)</f>
        <v>Brawler, Grab</v>
      </c>
      <c r="AI45" s="481"/>
      <c r="AJ45" s="481"/>
      <c r="AK45" s="481"/>
      <c r="AL45" s="481"/>
      <c r="AM45" s="481"/>
      <c r="AN45" s="481"/>
      <c r="AO45" s="481"/>
      <c r="AP45" s="481"/>
      <c r="AQ45" s="481"/>
      <c r="AR45" s="482"/>
      <c r="AS45" s="161"/>
      <c r="AU45" s="450"/>
      <c r="AV45" s="151"/>
      <c r="AW45" s="480" t="str">
        <f>IF(Roster!$P$8=0&amp;BF8,"",Roster!$P$8)</f>
        <v>Brawler, Grab</v>
      </c>
      <c r="AX45" s="481"/>
      <c r="AY45" s="481"/>
      <c r="AZ45" s="481"/>
      <c r="BA45" s="481"/>
      <c r="BB45" s="481"/>
      <c r="BC45" s="481"/>
      <c r="BD45" s="481"/>
      <c r="BE45" s="481"/>
      <c r="BF45" s="481"/>
      <c r="BG45" s="482"/>
      <c r="BH45" s="161"/>
    </row>
    <row r="46" spans="2:60" ht="11.25" customHeight="1" x14ac:dyDescent="0.2">
      <c r="B46" s="150" t="str">
        <f>IF(Roster!$AO$1=0,"",Roster!$AO$1)</f>
        <v>COST</v>
      </c>
      <c r="C46" s="150"/>
      <c r="D46" s="483"/>
      <c r="E46" s="484"/>
      <c r="F46" s="484"/>
      <c r="G46" s="484"/>
      <c r="H46" s="484"/>
      <c r="I46" s="484"/>
      <c r="J46" s="484"/>
      <c r="K46" s="484"/>
      <c r="L46" s="484"/>
      <c r="M46" s="484"/>
      <c r="N46" s="485"/>
      <c r="O46" s="162"/>
      <c r="Q46" s="150" t="str">
        <f>IF(Roster!$AO$1=0,"",Roster!$AO$1)</f>
        <v>COST</v>
      </c>
      <c r="R46" s="150"/>
      <c r="S46" s="483"/>
      <c r="T46" s="484"/>
      <c r="U46" s="484"/>
      <c r="V46" s="484"/>
      <c r="W46" s="484"/>
      <c r="X46" s="484"/>
      <c r="Y46" s="484"/>
      <c r="Z46" s="484"/>
      <c r="AA46" s="484"/>
      <c r="AB46" s="484"/>
      <c r="AC46" s="485"/>
      <c r="AD46" s="162"/>
      <c r="AF46" s="150" t="str">
        <f>IF(Roster!$AO$1=0,"",Roster!$AO$1)</f>
        <v>COST</v>
      </c>
      <c r="AG46" s="150"/>
      <c r="AH46" s="483"/>
      <c r="AI46" s="484"/>
      <c r="AJ46" s="484"/>
      <c r="AK46" s="484"/>
      <c r="AL46" s="484"/>
      <c r="AM46" s="484"/>
      <c r="AN46" s="484"/>
      <c r="AO46" s="484"/>
      <c r="AP46" s="484"/>
      <c r="AQ46" s="484"/>
      <c r="AR46" s="485"/>
      <c r="AS46" s="162"/>
      <c r="AU46" s="150" t="str">
        <f>IF(Roster!$AO$1=0,"",Roster!$AO$1)</f>
        <v>COST</v>
      </c>
      <c r="AV46" s="150"/>
      <c r="AW46" s="483"/>
      <c r="AX46" s="484"/>
      <c r="AY46" s="484"/>
      <c r="AZ46" s="484"/>
      <c r="BA46" s="484"/>
      <c r="BB46" s="484"/>
      <c r="BC46" s="484"/>
      <c r="BD46" s="484"/>
      <c r="BE46" s="484"/>
      <c r="BF46" s="484"/>
      <c r="BG46" s="485"/>
      <c r="BH46" s="162"/>
    </row>
    <row r="47" spans="2:60" ht="34.5" customHeight="1" x14ac:dyDescent="0.2">
      <c r="B47" s="164">
        <f>IF(Roster!$AO$5=0,"",Roster!$AO$5)</f>
        <v>100000</v>
      </c>
      <c r="C47" s="165"/>
      <c r="D47" s="486"/>
      <c r="E47" s="487"/>
      <c r="F47" s="487"/>
      <c r="G47" s="487"/>
      <c r="H47" s="487"/>
      <c r="I47" s="487"/>
      <c r="J47" s="487"/>
      <c r="K47" s="487"/>
      <c r="L47" s="487"/>
      <c r="M47" s="487"/>
      <c r="N47" s="488"/>
      <c r="O47" s="162"/>
      <c r="Q47" s="164">
        <f>IF(Roster!$AO$6=0,"",Roster!$AO$6)</f>
        <v>90000</v>
      </c>
      <c r="R47" s="165"/>
      <c r="S47" s="486"/>
      <c r="T47" s="487"/>
      <c r="U47" s="487"/>
      <c r="V47" s="487"/>
      <c r="W47" s="487"/>
      <c r="X47" s="487"/>
      <c r="Y47" s="487"/>
      <c r="Z47" s="487"/>
      <c r="AA47" s="487"/>
      <c r="AB47" s="487"/>
      <c r="AC47" s="488"/>
      <c r="AD47" s="162"/>
      <c r="AF47" s="164">
        <f>IF(Roster!$AO$7=0,"",Roster!$AO$7)</f>
        <v>90000</v>
      </c>
      <c r="AG47" s="165"/>
      <c r="AH47" s="486"/>
      <c r="AI47" s="487"/>
      <c r="AJ47" s="487"/>
      <c r="AK47" s="487"/>
      <c r="AL47" s="487"/>
      <c r="AM47" s="487"/>
      <c r="AN47" s="487"/>
      <c r="AO47" s="487"/>
      <c r="AP47" s="487"/>
      <c r="AQ47" s="487"/>
      <c r="AR47" s="488"/>
      <c r="AS47" s="162"/>
      <c r="AU47" s="164">
        <f>IF(Roster!$AO$8=0,"",Roster!$AO$8)</f>
        <v>90000</v>
      </c>
      <c r="AV47" s="165"/>
      <c r="AW47" s="486"/>
      <c r="AX47" s="487"/>
      <c r="AY47" s="487"/>
      <c r="AZ47" s="487"/>
      <c r="BA47" s="487"/>
      <c r="BB47" s="487"/>
      <c r="BC47" s="487"/>
      <c r="BD47" s="487"/>
      <c r="BE47" s="487"/>
      <c r="BF47" s="487"/>
      <c r="BG47" s="488"/>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8" t="str">
        <f>IF(Roster!$A$9=0,"","#"&amp;Roster!$A$9)</f>
        <v>#8</v>
      </c>
      <c r="C50" s="146"/>
      <c r="D50" s="146"/>
      <c r="E50" s="146"/>
      <c r="F50" s="146"/>
      <c r="G50" s="146"/>
      <c r="H50" s="146"/>
      <c r="I50" s="146"/>
      <c r="J50" s="146"/>
      <c r="K50" s="146"/>
      <c r="L50" s="146"/>
      <c r="M50" s="146"/>
      <c r="N50" s="146"/>
      <c r="O50" s="146"/>
      <c r="Q50" s="478" t="str">
        <f>IF(Roster!$A$10=0,"","#"&amp;Roster!$A$10)</f>
        <v>#9</v>
      </c>
      <c r="R50" s="146"/>
      <c r="S50" s="146"/>
      <c r="T50" s="146"/>
      <c r="U50" s="146"/>
      <c r="V50" s="146"/>
      <c r="W50" s="146"/>
      <c r="X50" s="146"/>
      <c r="Y50" s="146"/>
      <c r="Z50" s="146"/>
      <c r="AA50" s="146"/>
      <c r="AB50" s="146"/>
      <c r="AC50" s="146"/>
      <c r="AD50" s="146"/>
      <c r="AF50" s="478" t="str">
        <f>IF(Roster!$A$11=0,"","#"&amp;Roster!$A$11)</f>
        <v>#10</v>
      </c>
      <c r="AG50" s="146"/>
      <c r="AH50" s="146"/>
      <c r="AI50" s="146"/>
      <c r="AJ50" s="146"/>
      <c r="AK50" s="146"/>
      <c r="AL50" s="146"/>
      <c r="AM50" s="146"/>
      <c r="AN50" s="146"/>
      <c r="AO50" s="146"/>
      <c r="AP50" s="146"/>
      <c r="AQ50" s="146"/>
      <c r="AR50" s="146"/>
      <c r="AS50" s="146"/>
      <c r="AU50" s="478"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1" t="str">
        <f>IF(Roster!$B$9=0,"",Roster!$B$9)</f>
        <v>Gran Zhereale</v>
      </c>
      <c r="D51" s="296"/>
      <c r="E51" s="296"/>
      <c r="F51" s="296"/>
      <c r="G51" s="296"/>
      <c r="H51" s="296"/>
      <c r="I51" s="296"/>
      <c r="J51" s="296"/>
      <c r="K51" s="296"/>
      <c r="L51" s="296"/>
      <c r="M51" s="296"/>
      <c r="N51" s="297"/>
      <c r="O51" s="146"/>
      <c r="Q51" s="290"/>
      <c r="R51" s="471" t="str">
        <f>IF(Roster!$B$10=0,"",Roster!$B$10)</f>
        <v>Honey Loopz</v>
      </c>
      <c r="S51" s="296"/>
      <c r="T51" s="296"/>
      <c r="U51" s="296"/>
      <c r="V51" s="296"/>
      <c r="W51" s="296"/>
      <c r="X51" s="296"/>
      <c r="Y51" s="296"/>
      <c r="Z51" s="296"/>
      <c r="AA51" s="296"/>
      <c r="AB51" s="296"/>
      <c r="AC51" s="297"/>
      <c r="AD51" s="146"/>
      <c r="AF51" s="290"/>
      <c r="AG51" s="471" t="str">
        <f>IF(Roster!$B$11=0,"",Roster!$B$11)</f>
        <v>Ciocork Krave</v>
      </c>
      <c r="AH51" s="296"/>
      <c r="AI51" s="296"/>
      <c r="AJ51" s="296"/>
      <c r="AK51" s="296"/>
      <c r="AL51" s="296"/>
      <c r="AM51" s="296"/>
      <c r="AN51" s="296"/>
      <c r="AO51" s="296"/>
      <c r="AP51" s="296"/>
      <c r="AQ51" s="296"/>
      <c r="AR51" s="297"/>
      <c r="AS51" s="146"/>
      <c r="AU51" s="290"/>
      <c r="AV51" s="471" t="str">
        <f>IF(Roster!$B$12=0,"",Roster!$B$12)</f>
        <v>Vitaliz</v>
      </c>
      <c r="AW51" s="296"/>
      <c r="AX51" s="296"/>
      <c r="AY51" s="296"/>
      <c r="AZ51" s="296"/>
      <c r="BA51" s="296"/>
      <c r="BB51" s="296"/>
      <c r="BC51" s="296"/>
      <c r="BD51" s="296"/>
      <c r="BE51" s="296"/>
      <c r="BF51" s="296"/>
      <c r="BG51" s="297"/>
      <c r="BH51" s="146"/>
    </row>
    <row r="52" spans="2:60" ht="11.25" customHeight="1" x14ac:dyDescent="0.2">
      <c r="B52" s="450"/>
      <c r="C52" s="477" t="str">
        <f>IF(Roster!$D$9=0,"",Roster!$D$9)</f>
        <v>Goblin Bruiser</v>
      </c>
      <c r="D52" s="296"/>
      <c r="E52" s="296"/>
      <c r="F52" s="296"/>
      <c r="G52" s="296"/>
      <c r="H52" s="296"/>
      <c r="I52" s="296"/>
      <c r="J52" s="296"/>
      <c r="K52" s="296"/>
      <c r="L52" s="296"/>
      <c r="M52" s="296"/>
      <c r="N52" s="297"/>
      <c r="O52" s="147"/>
      <c r="Q52" s="450"/>
      <c r="R52" s="477" t="str">
        <f>IF(Roster!$D$10=0,"",Roster!$D$10)</f>
        <v>Goblin Bruiser</v>
      </c>
      <c r="S52" s="296"/>
      <c r="T52" s="296"/>
      <c r="U52" s="296"/>
      <c r="V52" s="296"/>
      <c r="W52" s="296"/>
      <c r="X52" s="296"/>
      <c r="Y52" s="296"/>
      <c r="Z52" s="296"/>
      <c r="AA52" s="296"/>
      <c r="AB52" s="296"/>
      <c r="AC52" s="297"/>
      <c r="AD52" s="147"/>
      <c r="AF52" s="450"/>
      <c r="AG52" s="477" t="str">
        <f>IF(Roster!$D$11=0,"",Roster!$D$11)</f>
        <v>Goblin Bruiser</v>
      </c>
      <c r="AH52" s="296"/>
      <c r="AI52" s="296"/>
      <c r="AJ52" s="296"/>
      <c r="AK52" s="296"/>
      <c r="AL52" s="296"/>
      <c r="AM52" s="296"/>
      <c r="AN52" s="296"/>
      <c r="AO52" s="296"/>
      <c r="AP52" s="296"/>
      <c r="AQ52" s="296"/>
      <c r="AR52" s="297"/>
      <c r="AS52" s="147"/>
      <c r="AU52" s="450"/>
      <c r="AV52" s="477" t="str">
        <f>IF(Roster!$D$12=0,"",Roster!$D$12)</f>
        <v>Goblin Bruiser</v>
      </c>
      <c r="AW52" s="296"/>
      <c r="AX52" s="296"/>
      <c r="AY52" s="296"/>
      <c r="AZ52" s="296"/>
      <c r="BA52" s="296"/>
      <c r="BB52" s="296"/>
      <c r="BC52" s="296"/>
      <c r="BD52" s="296"/>
      <c r="BE52" s="296"/>
      <c r="BF52" s="296"/>
      <c r="BG52" s="297"/>
      <c r="BH52" s="147"/>
    </row>
    <row r="53" spans="2:60" ht="11.25" customHeight="1" x14ac:dyDescent="0.2">
      <c r="B53" s="150" t="str">
        <f>IF(Roster!$K$1=0,"",Roster!$K$1)</f>
        <v>MA</v>
      </c>
      <c r="C53" s="149"/>
      <c r="D53" s="490"/>
      <c r="E53" s="490"/>
      <c r="F53" s="490"/>
      <c r="G53" s="490"/>
      <c r="H53" s="490"/>
      <c r="I53" s="490"/>
      <c r="J53" s="490"/>
      <c r="K53" s="490"/>
      <c r="L53" s="490"/>
      <c r="M53" s="490"/>
      <c r="N53" s="490"/>
      <c r="O53" s="146"/>
      <c r="Q53" s="150" t="str">
        <f>IF(Roster!$K$1=0,"",Roster!$K$1)</f>
        <v>MA</v>
      </c>
      <c r="R53" s="149"/>
      <c r="S53" s="490"/>
      <c r="T53" s="490"/>
      <c r="U53" s="490"/>
      <c r="V53" s="490"/>
      <c r="W53" s="490"/>
      <c r="X53" s="490"/>
      <c r="Y53" s="490"/>
      <c r="Z53" s="490"/>
      <c r="AA53" s="490"/>
      <c r="AB53" s="490"/>
      <c r="AC53" s="490"/>
      <c r="AD53" s="146"/>
      <c r="AF53" s="150" t="str">
        <f>IF(Roster!$K$1=0,"",Roster!$K$1)</f>
        <v>MA</v>
      </c>
      <c r="AG53" s="149"/>
      <c r="AH53" s="490"/>
      <c r="AI53" s="490"/>
      <c r="AJ53" s="490"/>
      <c r="AK53" s="490"/>
      <c r="AL53" s="490"/>
      <c r="AM53" s="490"/>
      <c r="AN53" s="490"/>
      <c r="AO53" s="490"/>
      <c r="AP53" s="490"/>
      <c r="AQ53" s="490"/>
      <c r="AR53" s="490"/>
      <c r="AS53" s="146"/>
      <c r="AU53" s="150" t="str">
        <f>IF(Roster!$K$1=0,"",Roster!$K$1)</f>
        <v>MA</v>
      </c>
      <c r="AV53" s="149"/>
      <c r="AW53" s="490"/>
      <c r="AX53" s="490"/>
      <c r="AY53" s="490"/>
      <c r="AZ53" s="490"/>
      <c r="BA53" s="490"/>
      <c r="BB53" s="490"/>
      <c r="BC53" s="490"/>
      <c r="BD53" s="490"/>
      <c r="BE53" s="490"/>
      <c r="BF53" s="490"/>
      <c r="BG53" s="490"/>
      <c r="BH53" s="146"/>
    </row>
    <row r="54" spans="2:60" ht="37.5" customHeight="1" x14ac:dyDescent="0.2">
      <c r="B54" s="152">
        <f>IF(Roster!$K$9=0,"",Roster!$K$9)</f>
        <v>6</v>
      </c>
      <c r="C54" s="149"/>
      <c r="D54" s="490"/>
      <c r="E54" s="490"/>
      <c r="F54" s="490"/>
      <c r="G54" s="490"/>
      <c r="H54" s="490"/>
      <c r="I54" s="490"/>
      <c r="J54" s="490"/>
      <c r="K54" s="490"/>
      <c r="L54" s="490"/>
      <c r="M54" s="490"/>
      <c r="N54" s="490"/>
      <c r="O54" s="146"/>
      <c r="Q54" s="152">
        <f>IF(Roster!$K$10=0,"",Roster!$K$10)</f>
        <v>6</v>
      </c>
      <c r="R54" s="149"/>
      <c r="S54" s="490"/>
      <c r="T54" s="490"/>
      <c r="U54" s="490"/>
      <c r="V54" s="490"/>
      <c r="W54" s="490"/>
      <c r="X54" s="490"/>
      <c r="Y54" s="490"/>
      <c r="Z54" s="490"/>
      <c r="AA54" s="490"/>
      <c r="AB54" s="490"/>
      <c r="AC54" s="490"/>
      <c r="AD54" s="146"/>
      <c r="AF54" s="152">
        <f>IF(Roster!$K$11=0,"",Roster!$K$11)</f>
        <v>6</v>
      </c>
      <c r="AG54" s="149"/>
      <c r="AH54" s="490"/>
      <c r="AI54" s="490"/>
      <c r="AJ54" s="490"/>
      <c r="AK54" s="490"/>
      <c r="AL54" s="490"/>
      <c r="AM54" s="490"/>
      <c r="AN54" s="490"/>
      <c r="AO54" s="490"/>
      <c r="AP54" s="490"/>
      <c r="AQ54" s="490"/>
      <c r="AR54" s="490"/>
      <c r="AS54" s="146"/>
      <c r="AU54" s="152">
        <f>IF(Roster!$K$12=0,"",Roster!$K$12)</f>
        <v>6</v>
      </c>
      <c r="AV54" s="149"/>
      <c r="AW54" s="490"/>
      <c r="AX54" s="490"/>
      <c r="AY54" s="490"/>
      <c r="AZ54" s="490"/>
      <c r="BA54" s="490"/>
      <c r="BB54" s="490"/>
      <c r="BC54" s="490"/>
      <c r="BD54" s="490"/>
      <c r="BE54" s="490"/>
      <c r="BF54" s="490"/>
      <c r="BG54" s="490"/>
      <c r="BH54" s="146"/>
    </row>
    <row r="55" spans="2:60" ht="11.25" customHeight="1" x14ac:dyDescent="0.2">
      <c r="B55" s="150" t="str">
        <f>IF(Roster!$L$1=0,"",Roster!$L$1)</f>
        <v>ST</v>
      </c>
      <c r="C55" s="149"/>
      <c r="D55" s="490"/>
      <c r="E55" s="490"/>
      <c r="F55" s="490"/>
      <c r="G55" s="490"/>
      <c r="H55" s="490"/>
      <c r="I55" s="490"/>
      <c r="J55" s="490"/>
      <c r="K55" s="490"/>
      <c r="L55" s="490"/>
      <c r="M55" s="490"/>
      <c r="N55" s="490"/>
      <c r="O55" s="146"/>
      <c r="Q55" s="150" t="str">
        <f>IF(Roster!$L$1=0,"",Roster!$L$1)</f>
        <v>ST</v>
      </c>
      <c r="R55" s="149"/>
      <c r="S55" s="490"/>
      <c r="T55" s="490"/>
      <c r="U55" s="490"/>
      <c r="V55" s="490"/>
      <c r="W55" s="490"/>
      <c r="X55" s="490"/>
      <c r="Y55" s="490"/>
      <c r="Z55" s="490"/>
      <c r="AA55" s="490"/>
      <c r="AB55" s="490"/>
      <c r="AC55" s="490"/>
      <c r="AD55" s="146"/>
      <c r="AF55" s="150" t="str">
        <f>IF(Roster!$L$1=0,"",Roster!$L$1)</f>
        <v>ST</v>
      </c>
      <c r="AG55" s="149"/>
      <c r="AH55" s="490"/>
      <c r="AI55" s="490"/>
      <c r="AJ55" s="490"/>
      <c r="AK55" s="490"/>
      <c r="AL55" s="490"/>
      <c r="AM55" s="490"/>
      <c r="AN55" s="490"/>
      <c r="AO55" s="490"/>
      <c r="AP55" s="490"/>
      <c r="AQ55" s="490"/>
      <c r="AR55" s="490"/>
      <c r="AS55" s="146"/>
      <c r="AU55" s="150" t="str">
        <f>IF(Roster!$L$1=0,"",Roster!$L$1)</f>
        <v>ST</v>
      </c>
      <c r="AV55" s="149"/>
      <c r="AW55" s="490"/>
      <c r="AX55" s="490"/>
      <c r="AY55" s="490"/>
      <c r="AZ55" s="490"/>
      <c r="BA55" s="490"/>
      <c r="BB55" s="490"/>
      <c r="BC55" s="490"/>
      <c r="BD55" s="490"/>
      <c r="BE55" s="490"/>
      <c r="BF55" s="490"/>
      <c r="BG55" s="490"/>
      <c r="BH55" s="146"/>
    </row>
    <row r="56" spans="2:60" ht="37.5" customHeight="1" x14ac:dyDescent="0.2">
      <c r="B56" s="152">
        <f>IF(Roster!$L$9=0,"",Roster!$L$9)</f>
        <v>2</v>
      </c>
      <c r="C56" s="149"/>
      <c r="D56" s="490"/>
      <c r="E56" s="490"/>
      <c r="F56" s="490"/>
      <c r="G56" s="490"/>
      <c r="H56" s="490"/>
      <c r="I56" s="490"/>
      <c r="J56" s="490"/>
      <c r="K56" s="490"/>
      <c r="L56" s="490"/>
      <c r="M56" s="490"/>
      <c r="N56" s="490"/>
      <c r="O56" s="146"/>
      <c r="Q56" s="152">
        <f>IF(Roster!$L$10=0,"",Roster!$L$10)</f>
        <v>2</v>
      </c>
      <c r="R56" s="149"/>
      <c r="S56" s="490"/>
      <c r="T56" s="490"/>
      <c r="U56" s="490"/>
      <c r="V56" s="490"/>
      <c r="W56" s="490"/>
      <c r="X56" s="490"/>
      <c r="Y56" s="490"/>
      <c r="Z56" s="490"/>
      <c r="AA56" s="490"/>
      <c r="AB56" s="490"/>
      <c r="AC56" s="490"/>
      <c r="AD56" s="146"/>
      <c r="AF56" s="152">
        <f>IF(Roster!$L$11=0,"",Roster!$L$11)</f>
        <v>2</v>
      </c>
      <c r="AG56" s="149"/>
      <c r="AH56" s="490"/>
      <c r="AI56" s="490"/>
      <c r="AJ56" s="490"/>
      <c r="AK56" s="490"/>
      <c r="AL56" s="490"/>
      <c r="AM56" s="490"/>
      <c r="AN56" s="490"/>
      <c r="AO56" s="490"/>
      <c r="AP56" s="490"/>
      <c r="AQ56" s="490"/>
      <c r="AR56" s="490"/>
      <c r="AS56" s="146"/>
      <c r="AU56" s="152">
        <f>IF(Roster!$L$12=0,"",Roster!$L$12)</f>
        <v>2</v>
      </c>
      <c r="AV56" s="149"/>
      <c r="AW56" s="490"/>
      <c r="AX56" s="490"/>
      <c r="AY56" s="490"/>
      <c r="AZ56" s="490"/>
      <c r="BA56" s="490"/>
      <c r="BB56" s="490"/>
      <c r="BC56" s="490"/>
      <c r="BD56" s="490"/>
      <c r="BE56" s="490"/>
      <c r="BF56" s="490"/>
      <c r="BG56" s="490"/>
      <c r="BH56" s="146"/>
    </row>
    <row r="57" spans="2:60" ht="11.25" customHeight="1" x14ac:dyDescent="0.2">
      <c r="B57" s="150" t="str">
        <f>IF(Roster!$M$1=0,"",Roster!$M$1)</f>
        <v>AG</v>
      </c>
      <c r="C57" s="149"/>
      <c r="D57" s="490"/>
      <c r="E57" s="490"/>
      <c r="F57" s="490"/>
      <c r="G57" s="490"/>
      <c r="H57" s="490"/>
      <c r="I57" s="490"/>
      <c r="J57" s="490"/>
      <c r="K57" s="490"/>
      <c r="L57" s="490"/>
      <c r="M57" s="490"/>
      <c r="N57" s="490"/>
      <c r="O57" s="146"/>
      <c r="Q57" s="150" t="str">
        <f>IF(Roster!$M$1=0,"",Roster!$M$1)</f>
        <v>AG</v>
      </c>
      <c r="R57" s="149"/>
      <c r="S57" s="490"/>
      <c r="T57" s="490"/>
      <c r="U57" s="490"/>
      <c r="V57" s="490"/>
      <c r="W57" s="490"/>
      <c r="X57" s="490"/>
      <c r="Y57" s="490"/>
      <c r="Z57" s="490"/>
      <c r="AA57" s="490"/>
      <c r="AB57" s="490"/>
      <c r="AC57" s="490"/>
      <c r="AD57" s="146"/>
      <c r="AF57" s="150" t="str">
        <f>IF(Roster!$M$1=0,"",Roster!$M$1)</f>
        <v>AG</v>
      </c>
      <c r="AG57" s="149"/>
      <c r="AH57" s="490"/>
      <c r="AI57" s="490"/>
      <c r="AJ57" s="490"/>
      <c r="AK57" s="490"/>
      <c r="AL57" s="490"/>
      <c r="AM57" s="490"/>
      <c r="AN57" s="490"/>
      <c r="AO57" s="490"/>
      <c r="AP57" s="490"/>
      <c r="AQ57" s="490"/>
      <c r="AR57" s="490"/>
      <c r="AS57" s="146"/>
      <c r="AU57" s="150" t="str">
        <f>IF(Roster!$M$1=0,"",Roster!$M$1)</f>
        <v>AG</v>
      </c>
      <c r="AV57" s="149"/>
      <c r="AW57" s="490"/>
      <c r="AX57" s="490"/>
      <c r="AY57" s="490"/>
      <c r="AZ57" s="490"/>
      <c r="BA57" s="490"/>
      <c r="BB57" s="490"/>
      <c r="BC57" s="490"/>
      <c r="BD57" s="490"/>
      <c r="BE57" s="490"/>
      <c r="BF57" s="490"/>
      <c r="BG57" s="490"/>
      <c r="BH57" s="146"/>
    </row>
    <row r="58" spans="2:60" ht="37.5" customHeight="1" x14ac:dyDescent="0.2">
      <c r="B58" s="152" t="str">
        <f>IF(Roster!$M$9=0&amp;"+","",Roster!$M$9)</f>
        <v>3+</v>
      </c>
      <c r="C58" s="149"/>
      <c r="D58" s="490"/>
      <c r="E58" s="490"/>
      <c r="F58" s="490"/>
      <c r="G58" s="490"/>
      <c r="H58" s="490"/>
      <c r="I58" s="490"/>
      <c r="J58" s="490"/>
      <c r="K58" s="490"/>
      <c r="L58" s="490"/>
      <c r="M58" s="490"/>
      <c r="N58" s="490"/>
      <c r="O58" s="146"/>
      <c r="Q58" s="152" t="str">
        <f>IF(Roster!$M$10=0&amp;"+","",Roster!$M$10)</f>
        <v>3+</v>
      </c>
      <c r="R58" s="149"/>
      <c r="S58" s="490"/>
      <c r="T58" s="490"/>
      <c r="U58" s="490"/>
      <c r="V58" s="490"/>
      <c r="W58" s="490"/>
      <c r="X58" s="490"/>
      <c r="Y58" s="490"/>
      <c r="Z58" s="490"/>
      <c r="AA58" s="490"/>
      <c r="AB58" s="490"/>
      <c r="AC58" s="490"/>
      <c r="AD58" s="146"/>
      <c r="AF58" s="152" t="str">
        <f>IF(Roster!$M$11=0&amp;"+","",Roster!$M$11)</f>
        <v>3+</v>
      </c>
      <c r="AG58" s="149"/>
      <c r="AH58" s="490"/>
      <c r="AI58" s="490"/>
      <c r="AJ58" s="490"/>
      <c r="AK58" s="490"/>
      <c r="AL58" s="490"/>
      <c r="AM58" s="490"/>
      <c r="AN58" s="490"/>
      <c r="AO58" s="490"/>
      <c r="AP58" s="490"/>
      <c r="AQ58" s="490"/>
      <c r="AR58" s="490"/>
      <c r="AS58" s="146"/>
      <c r="AU58" s="152" t="str">
        <f>IF(Roster!$M$12=0&amp;"+","",Roster!$M$12)</f>
        <v>3+</v>
      </c>
      <c r="AV58" s="149"/>
      <c r="AW58" s="490"/>
      <c r="AX58" s="490"/>
      <c r="AY58" s="490"/>
      <c r="AZ58" s="490"/>
      <c r="BA58" s="490"/>
      <c r="BB58" s="490"/>
      <c r="BC58" s="490"/>
      <c r="BD58" s="490"/>
      <c r="BE58" s="490"/>
      <c r="BF58" s="490"/>
      <c r="BG58" s="490"/>
      <c r="BH58" s="146"/>
    </row>
    <row r="59" spans="2:60" ht="11.25" customHeight="1" x14ac:dyDescent="0.2">
      <c r="B59" s="150" t="str">
        <f>IF(Roster!$N$1=0,"",Roster!$N$1)</f>
        <v>PA</v>
      </c>
      <c r="C59" s="149"/>
      <c r="D59" s="490"/>
      <c r="E59" s="490"/>
      <c r="F59" s="490"/>
      <c r="G59" s="490"/>
      <c r="H59" s="490"/>
      <c r="I59" s="490"/>
      <c r="J59" s="490"/>
      <c r="K59" s="490"/>
      <c r="L59" s="490"/>
      <c r="M59" s="490"/>
      <c r="N59" s="490"/>
      <c r="O59" s="155"/>
      <c r="Q59" s="150" t="str">
        <f>IF(Roster!$N$1=0,"",Roster!$N$1)</f>
        <v>PA</v>
      </c>
      <c r="R59" s="149"/>
      <c r="S59" s="490"/>
      <c r="T59" s="490"/>
      <c r="U59" s="490"/>
      <c r="V59" s="490"/>
      <c r="W59" s="490"/>
      <c r="X59" s="490"/>
      <c r="Y59" s="490"/>
      <c r="Z59" s="490"/>
      <c r="AA59" s="490"/>
      <c r="AB59" s="490"/>
      <c r="AC59" s="490"/>
      <c r="AD59" s="155"/>
      <c r="AF59" s="150" t="str">
        <f>IF(Roster!$N$1=0,"",Roster!$N$1)</f>
        <v>PA</v>
      </c>
      <c r="AG59" s="149"/>
      <c r="AH59" s="490"/>
      <c r="AI59" s="490"/>
      <c r="AJ59" s="490"/>
      <c r="AK59" s="490"/>
      <c r="AL59" s="490"/>
      <c r="AM59" s="490"/>
      <c r="AN59" s="490"/>
      <c r="AO59" s="490"/>
      <c r="AP59" s="490"/>
      <c r="AQ59" s="490"/>
      <c r="AR59" s="490"/>
      <c r="AS59" s="155"/>
      <c r="AU59" s="150" t="str">
        <f>IF(Roster!$N$1=0,"",Roster!$N$1)</f>
        <v>PA</v>
      </c>
      <c r="AV59" s="149"/>
      <c r="AW59" s="490"/>
      <c r="AX59" s="490"/>
      <c r="AY59" s="490"/>
      <c r="AZ59" s="490"/>
      <c r="BA59" s="490"/>
      <c r="BB59" s="490"/>
      <c r="BC59" s="490"/>
      <c r="BD59" s="490"/>
      <c r="BE59" s="490"/>
      <c r="BF59" s="490"/>
      <c r="BG59" s="490"/>
      <c r="BH59" s="155"/>
    </row>
    <row r="60" spans="2:60" ht="6" customHeight="1" x14ac:dyDescent="0.2">
      <c r="B60" s="479" t="str">
        <f>IF(Roster!$N$9=0&amp;"+","",Roster!$N$9)</f>
        <v>4+</v>
      </c>
      <c r="C60" s="149"/>
      <c r="D60" s="490"/>
      <c r="E60" s="490"/>
      <c r="F60" s="490"/>
      <c r="G60" s="490"/>
      <c r="H60" s="490"/>
      <c r="I60" s="490"/>
      <c r="J60" s="490"/>
      <c r="K60" s="490"/>
      <c r="L60" s="490"/>
      <c r="M60" s="490"/>
      <c r="N60" s="490"/>
      <c r="O60" s="157"/>
      <c r="Q60" s="479" t="str">
        <f>IF(Roster!$N$10=0&amp;"+","",Roster!$N$10)</f>
        <v>4+</v>
      </c>
      <c r="R60" s="149"/>
      <c r="S60" s="490"/>
      <c r="T60" s="490"/>
      <c r="U60" s="490"/>
      <c r="V60" s="490"/>
      <c r="W60" s="490"/>
      <c r="X60" s="490"/>
      <c r="Y60" s="490"/>
      <c r="Z60" s="490"/>
      <c r="AA60" s="490"/>
      <c r="AB60" s="490"/>
      <c r="AC60" s="490"/>
      <c r="AD60" s="157"/>
      <c r="AF60" s="479" t="str">
        <f>IF(Roster!$N$11=0&amp;"+","",Roster!$N$11)</f>
        <v>4+</v>
      </c>
      <c r="AG60" s="149"/>
      <c r="AH60" s="490"/>
      <c r="AI60" s="490"/>
      <c r="AJ60" s="490"/>
      <c r="AK60" s="490"/>
      <c r="AL60" s="490"/>
      <c r="AM60" s="490"/>
      <c r="AN60" s="490"/>
      <c r="AO60" s="490"/>
      <c r="AP60" s="490"/>
      <c r="AQ60" s="490"/>
      <c r="AR60" s="490"/>
      <c r="AS60" s="157"/>
      <c r="AU60" s="479" t="str">
        <f>IF(Roster!$N$12=0&amp;"+","",Roster!$N$12)</f>
        <v>4+</v>
      </c>
      <c r="AV60" s="149"/>
      <c r="AW60" s="490"/>
      <c r="AX60" s="490"/>
      <c r="AY60" s="490"/>
      <c r="AZ60" s="490"/>
      <c r="BA60" s="490"/>
      <c r="BB60" s="490"/>
      <c r="BC60" s="490"/>
      <c r="BD60" s="490"/>
      <c r="BE60" s="490"/>
      <c r="BF60" s="490"/>
      <c r="BG60" s="490"/>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f>IF(Roster!$AD$10=0,"",Roster!$AD$10)</f>
        <v>1</v>
      </c>
      <c r="T63" s="151"/>
      <c r="U63" s="159" t="str">
        <f>IF((SUM(W63,Y63,AA63))=0,"",(SUM(W63,Y63,AA63)))</f>
        <v/>
      </c>
      <c r="V63" s="151"/>
      <c r="W63" s="159" t="str">
        <f>IF(Roster!$AG$10=0,"",Roster!$AG$10)</f>
        <v/>
      </c>
      <c r="X63" s="151"/>
      <c r="Y63" s="159" t="str">
        <f>IF(Roster!$AH$10=0,"",Roster!$AH$10)</f>
        <v/>
      </c>
      <c r="Z63" s="151"/>
      <c r="AA63" s="159" t="str">
        <f>IF(Roster!$AI$10=0,"",Roster!$AI$10)</f>
        <v/>
      </c>
      <c r="AB63" s="151"/>
      <c r="AC63" s="159">
        <f>IF(Roster!$AC$10=0,"",Roster!$AC$10)</f>
        <v>1</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f>IF(Roster!$AD$12=0,"",Roster!$AD$12)</f>
        <v>1</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0"/>
      <c r="C64" s="151"/>
      <c r="D64" s="160"/>
      <c r="E64" s="151"/>
      <c r="F64" s="160"/>
      <c r="G64" s="151"/>
      <c r="H64" s="160"/>
      <c r="I64" s="151"/>
      <c r="J64" s="160"/>
      <c r="K64" s="151"/>
      <c r="L64" s="160"/>
      <c r="M64" s="151"/>
      <c r="N64" s="160"/>
      <c r="O64" s="157"/>
      <c r="Q64" s="450"/>
      <c r="R64" s="151"/>
      <c r="S64" s="160"/>
      <c r="T64" s="151"/>
      <c r="U64" s="160"/>
      <c r="V64" s="151"/>
      <c r="W64" s="160"/>
      <c r="X64" s="151"/>
      <c r="Y64" s="160"/>
      <c r="Z64" s="151"/>
      <c r="AA64" s="160"/>
      <c r="AB64" s="151"/>
      <c r="AC64" s="160"/>
      <c r="AD64" s="157"/>
      <c r="AF64" s="450"/>
      <c r="AG64" s="151"/>
      <c r="AH64" s="160"/>
      <c r="AI64" s="151"/>
      <c r="AJ64" s="160"/>
      <c r="AK64" s="151"/>
      <c r="AL64" s="160"/>
      <c r="AM64" s="151"/>
      <c r="AN64" s="160"/>
      <c r="AO64" s="151"/>
      <c r="AP64" s="160"/>
      <c r="AQ64" s="151"/>
      <c r="AR64" s="160"/>
      <c r="AS64" s="157"/>
      <c r="AU64" s="450"/>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9"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9"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4</v>
      </c>
      <c r="AB66" s="151"/>
      <c r="AC66" s="159" t="str">
        <f>IF(Roster!$AA$10=0,"",Roster!$AA$10)</f>
        <v/>
      </c>
      <c r="AD66" s="161"/>
      <c r="AF66" s="479"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9"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f>IF(Roster!$AK$12=0,"",Roster!$AK$12)</f>
        <v>3</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6" t="str">
        <f>IF(Roster!$K$25="Italiano","ABILITÀ &amp; TRATTI",(IF(Roster!$K$25="Español","HABILIDADES Y RASGOS","SKILLS &amp; TRAITS")))</f>
        <v>SKILLS &amp; TRAITS</v>
      </c>
      <c r="E68" s="296"/>
      <c r="F68" s="296"/>
      <c r="G68" s="296"/>
      <c r="H68" s="296"/>
      <c r="I68" s="296"/>
      <c r="J68" s="296"/>
      <c r="K68" s="296"/>
      <c r="L68" s="296"/>
      <c r="M68" s="296"/>
      <c r="N68" s="297"/>
      <c r="O68" s="161"/>
      <c r="Q68" s="290"/>
      <c r="R68" s="151"/>
      <c r="S68" s="476" t="str">
        <f>IF(Roster!$K$25="Italiano","ABILITÀ &amp; TRATTI",(IF(Roster!$K$25="Español","HABILIDADES Y RASGOS","SKILLS &amp; TRAITS")))</f>
        <v>SKILLS &amp; TRAITS</v>
      </c>
      <c r="T68" s="296"/>
      <c r="U68" s="296"/>
      <c r="V68" s="296"/>
      <c r="W68" s="296"/>
      <c r="X68" s="296"/>
      <c r="Y68" s="296"/>
      <c r="Z68" s="296"/>
      <c r="AA68" s="296"/>
      <c r="AB68" s="296"/>
      <c r="AC68" s="297"/>
      <c r="AD68" s="161"/>
      <c r="AF68" s="290"/>
      <c r="AG68" s="151"/>
      <c r="AH68" s="476" t="str">
        <f>IF(Roster!$K$25="Italiano","ABILITÀ &amp; TRATTI",(IF(Roster!$K$25="Español","HABILIDADES Y RASGOS","SKILLS &amp; TRAITS")))</f>
        <v>SKILLS &amp; TRAITS</v>
      </c>
      <c r="AI68" s="296"/>
      <c r="AJ68" s="296"/>
      <c r="AK68" s="296"/>
      <c r="AL68" s="296"/>
      <c r="AM68" s="296"/>
      <c r="AN68" s="296"/>
      <c r="AO68" s="296"/>
      <c r="AP68" s="296"/>
      <c r="AQ68" s="296"/>
      <c r="AR68" s="297"/>
      <c r="AS68" s="161"/>
      <c r="AU68" s="290"/>
      <c r="AV68" s="151"/>
      <c r="AW68" s="476" t="str">
        <f>IF(Roster!$K$25="Italiano","ABILITÀ &amp; TRATTI",(IF(Roster!$K$25="Español","HABILIDADES Y RASGOS","SKILLS &amp; TRAITS")))</f>
        <v>SKILLS &amp; TRAITS</v>
      </c>
      <c r="AX68" s="296"/>
      <c r="AY68" s="296"/>
      <c r="AZ68" s="296"/>
      <c r="BA68" s="296"/>
      <c r="BB68" s="296"/>
      <c r="BC68" s="296"/>
      <c r="BD68" s="296"/>
      <c r="BE68" s="296"/>
      <c r="BF68" s="296"/>
      <c r="BG68" s="297"/>
      <c r="BH68" s="161"/>
    </row>
    <row r="69" spans="2:60" ht="6.75" customHeight="1" x14ac:dyDescent="0.2">
      <c r="B69" s="450"/>
      <c r="C69" s="151"/>
      <c r="D69" s="480" t="str">
        <f>IF(Roster!$P$9=0&amp;BF9,"",Roster!$P$9)</f>
        <v>Dodge, Right Stuff, Stunty, Thick Skull - 1 NI</v>
      </c>
      <c r="E69" s="481"/>
      <c r="F69" s="481"/>
      <c r="G69" s="481"/>
      <c r="H69" s="481"/>
      <c r="I69" s="481"/>
      <c r="J69" s="481"/>
      <c r="K69" s="481"/>
      <c r="L69" s="481"/>
      <c r="M69" s="481"/>
      <c r="N69" s="482"/>
      <c r="O69" s="161"/>
      <c r="Q69" s="450"/>
      <c r="R69" s="151"/>
      <c r="S69" s="480" t="str">
        <f>IF(Roster!$P$10=0&amp;BF10,"",Roster!$P$10)</f>
        <v>Dodge, Right Stuff, Stunty, Thick Skull, Jump Up</v>
      </c>
      <c r="T69" s="481"/>
      <c r="U69" s="481"/>
      <c r="V69" s="481"/>
      <c r="W69" s="481"/>
      <c r="X69" s="481"/>
      <c r="Y69" s="481"/>
      <c r="Z69" s="481"/>
      <c r="AA69" s="481"/>
      <c r="AB69" s="481"/>
      <c r="AC69" s="482"/>
      <c r="AD69" s="161"/>
      <c r="AF69" s="450"/>
      <c r="AG69" s="151"/>
      <c r="AH69" s="480" t="str">
        <f>IF(Roster!$P$11=0&amp;BF11,"",Roster!$P$11)</f>
        <v>Dodge, Right Stuff, Stunty, Thick Skull</v>
      </c>
      <c r="AI69" s="481"/>
      <c r="AJ69" s="481"/>
      <c r="AK69" s="481"/>
      <c r="AL69" s="481"/>
      <c r="AM69" s="481"/>
      <c r="AN69" s="481"/>
      <c r="AO69" s="481"/>
      <c r="AP69" s="481"/>
      <c r="AQ69" s="481"/>
      <c r="AR69" s="482"/>
      <c r="AS69" s="161"/>
      <c r="AU69" s="450"/>
      <c r="AV69" s="151"/>
      <c r="AW69" s="480" t="str">
        <f>IF(Roster!$P$12=0&amp;BF12,"",Roster!$P$12)</f>
        <v>Dodge, Right Stuff, Stunty, Thick Skull, Diving Catch</v>
      </c>
      <c r="AX69" s="481"/>
      <c r="AY69" s="481"/>
      <c r="AZ69" s="481"/>
      <c r="BA69" s="481"/>
      <c r="BB69" s="481"/>
      <c r="BC69" s="481"/>
      <c r="BD69" s="481"/>
      <c r="BE69" s="481"/>
      <c r="BF69" s="481"/>
      <c r="BG69" s="482"/>
      <c r="BH69" s="161"/>
    </row>
    <row r="70" spans="2:60" ht="11.25" customHeight="1" x14ac:dyDescent="0.2">
      <c r="B70" s="150" t="str">
        <f>IF(Roster!$AO$1=0,"",Roster!$AO$1)</f>
        <v>COST</v>
      </c>
      <c r="C70" s="150"/>
      <c r="D70" s="483"/>
      <c r="E70" s="484"/>
      <c r="F70" s="484"/>
      <c r="G70" s="484"/>
      <c r="H70" s="484"/>
      <c r="I70" s="484"/>
      <c r="J70" s="484"/>
      <c r="K70" s="484"/>
      <c r="L70" s="484"/>
      <c r="M70" s="484"/>
      <c r="N70" s="485"/>
      <c r="O70" s="162"/>
      <c r="Q70" s="150" t="str">
        <f>IF(Roster!$AO$1=0,"",Roster!$AO$1)</f>
        <v>COST</v>
      </c>
      <c r="R70" s="150"/>
      <c r="S70" s="483"/>
      <c r="T70" s="484"/>
      <c r="U70" s="484"/>
      <c r="V70" s="484"/>
      <c r="W70" s="484"/>
      <c r="X70" s="484"/>
      <c r="Y70" s="484"/>
      <c r="Z70" s="484"/>
      <c r="AA70" s="484"/>
      <c r="AB70" s="484"/>
      <c r="AC70" s="485"/>
      <c r="AD70" s="162"/>
      <c r="AF70" s="150" t="str">
        <f>IF(Roster!$AO$1=0,"",Roster!$AO$1)</f>
        <v>COST</v>
      </c>
      <c r="AG70" s="150"/>
      <c r="AH70" s="483"/>
      <c r="AI70" s="484"/>
      <c r="AJ70" s="484"/>
      <c r="AK70" s="484"/>
      <c r="AL70" s="484"/>
      <c r="AM70" s="484"/>
      <c r="AN70" s="484"/>
      <c r="AO70" s="484"/>
      <c r="AP70" s="484"/>
      <c r="AQ70" s="484"/>
      <c r="AR70" s="485"/>
      <c r="AS70" s="162"/>
      <c r="AU70" s="150" t="str">
        <f>IF(Roster!$AO$1=0,"",Roster!$AO$1)</f>
        <v>COST</v>
      </c>
      <c r="AV70" s="150"/>
      <c r="AW70" s="483"/>
      <c r="AX70" s="484"/>
      <c r="AY70" s="484"/>
      <c r="AZ70" s="484"/>
      <c r="BA70" s="484"/>
      <c r="BB70" s="484"/>
      <c r="BC70" s="484"/>
      <c r="BD70" s="484"/>
      <c r="BE70" s="484"/>
      <c r="BF70" s="484"/>
      <c r="BG70" s="485"/>
      <c r="BH70" s="162"/>
    </row>
    <row r="71" spans="2:60" ht="34.5" customHeight="1" x14ac:dyDescent="0.2">
      <c r="B71" s="164">
        <f>IF(Roster!$AO$9=0,"",Roster!$AO$9)</f>
        <v>45000</v>
      </c>
      <c r="C71" s="165"/>
      <c r="D71" s="486"/>
      <c r="E71" s="487"/>
      <c r="F71" s="487"/>
      <c r="G71" s="487"/>
      <c r="H71" s="487"/>
      <c r="I71" s="487"/>
      <c r="J71" s="487"/>
      <c r="K71" s="487"/>
      <c r="L71" s="487"/>
      <c r="M71" s="487"/>
      <c r="N71" s="488"/>
      <c r="O71" s="162"/>
      <c r="Q71" s="164">
        <f>IF(Roster!$AO$10=0,"",Roster!$AO$10)</f>
        <v>55000</v>
      </c>
      <c r="R71" s="165"/>
      <c r="S71" s="486"/>
      <c r="T71" s="487"/>
      <c r="U71" s="487"/>
      <c r="V71" s="487"/>
      <c r="W71" s="487"/>
      <c r="X71" s="487"/>
      <c r="Y71" s="487"/>
      <c r="Z71" s="487"/>
      <c r="AA71" s="487"/>
      <c r="AB71" s="487"/>
      <c r="AC71" s="488"/>
      <c r="AD71" s="162"/>
      <c r="AF71" s="164">
        <f>IF(Roster!$AO$11=0,"",Roster!$AO$11)</f>
        <v>45000</v>
      </c>
      <c r="AG71" s="165"/>
      <c r="AH71" s="486"/>
      <c r="AI71" s="487"/>
      <c r="AJ71" s="487"/>
      <c r="AK71" s="487"/>
      <c r="AL71" s="487"/>
      <c r="AM71" s="487"/>
      <c r="AN71" s="487"/>
      <c r="AO71" s="487"/>
      <c r="AP71" s="487"/>
      <c r="AQ71" s="487"/>
      <c r="AR71" s="488"/>
      <c r="AS71" s="162"/>
      <c r="AU71" s="164">
        <f>IF(Roster!$AO$12=0,"",Roster!$AO$12)</f>
        <v>55000</v>
      </c>
      <c r="AV71" s="165"/>
      <c r="AW71" s="486"/>
      <c r="AX71" s="487"/>
      <c r="AY71" s="487"/>
      <c r="AZ71" s="487"/>
      <c r="BA71" s="487"/>
      <c r="BB71" s="487"/>
      <c r="BC71" s="487"/>
      <c r="BD71" s="487"/>
      <c r="BE71" s="487"/>
      <c r="BF71" s="487"/>
      <c r="BG71" s="488"/>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8" t="str">
        <f>IF(Roster!$A$13=0,"","#"&amp;Roster!$A$13)</f>
        <v>#12</v>
      </c>
      <c r="C74" s="146"/>
      <c r="D74" s="146"/>
      <c r="E74" s="146"/>
      <c r="F74" s="146"/>
      <c r="G74" s="146"/>
      <c r="H74" s="146"/>
      <c r="I74" s="146"/>
      <c r="J74" s="146"/>
      <c r="K74" s="146"/>
      <c r="L74" s="146"/>
      <c r="M74" s="146"/>
      <c r="N74" s="146"/>
      <c r="O74" s="146"/>
      <c r="Q74" s="478" t="str">
        <f>IF(Roster!$A$14=0,"","#"&amp;Roster!$A$14)</f>
        <v>#13</v>
      </c>
      <c r="R74" s="146"/>
      <c r="S74" s="146"/>
      <c r="T74" s="146"/>
      <c r="U74" s="146"/>
      <c r="V74" s="146"/>
      <c r="W74" s="146"/>
      <c r="X74" s="146"/>
      <c r="Y74" s="146"/>
      <c r="Z74" s="146"/>
      <c r="AA74" s="146"/>
      <c r="AB74" s="146"/>
      <c r="AC74" s="146"/>
      <c r="AD74" s="146"/>
      <c r="AF74" s="478" t="str">
        <f>IF(Roster!$A$15=0,"","#"&amp;Roster!$A$15)</f>
        <v>#14</v>
      </c>
      <c r="AG74" s="146"/>
      <c r="AH74" s="146"/>
      <c r="AI74" s="146"/>
      <c r="AJ74" s="146"/>
      <c r="AK74" s="146"/>
      <c r="AL74" s="146"/>
      <c r="AM74" s="146"/>
      <c r="AN74" s="146"/>
      <c r="AO74" s="146"/>
      <c r="AP74" s="146"/>
      <c r="AQ74" s="146"/>
      <c r="AR74" s="146"/>
      <c r="AS74" s="146"/>
      <c r="AU74" s="478"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1" t="str">
        <f>IF(Roster!$B$13=0,"",Roster!$B$13)</f>
        <v>Mondelez</v>
      </c>
      <c r="D75" s="296"/>
      <c r="E75" s="296"/>
      <c r="F75" s="296"/>
      <c r="G75" s="296"/>
      <c r="H75" s="296"/>
      <c r="I75" s="296"/>
      <c r="J75" s="296"/>
      <c r="K75" s="296"/>
      <c r="L75" s="296"/>
      <c r="M75" s="296"/>
      <c r="N75" s="297"/>
      <c r="O75" s="146"/>
      <c r="Q75" s="290"/>
      <c r="R75" s="471" t="str">
        <f>IF(Roster!$B$14=0,"",Roster!$B$14)</f>
        <v>Kraft</v>
      </c>
      <c r="S75" s="296"/>
      <c r="T75" s="296"/>
      <c r="U75" s="296"/>
      <c r="V75" s="296"/>
      <c r="W75" s="296"/>
      <c r="X75" s="296"/>
      <c r="Y75" s="296"/>
      <c r="Z75" s="296"/>
      <c r="AA75" s="296"/>
      <c r="AB75" s="296"/>
      <c r="AC75" s="297"/>
      <c r="AD75" s="146"/>
      <c r="AF75" s="290"/>
      <c r="AG75" s="471" t="str">
        <f>IF(Roster!$B$15=0,"",Roster!$B$15)</f>
        <v>Smucker</v>
      </c>
      <c r="AH75" s="296"/>
      <c r="AI75" s="296"/>
      <c r="AJ75" s="296"/>
      <c r="AK75" s="296"/>
      <c r="AL75" s="296"/>
      <c r="AM75" s="296"/>
      <c r="AN75" s="296"/>
      <c r="AO75" s="296"/>
      <c r="AP75" s="296"/>
      <c r="AQ75" s="296"/>
      <c r="AR75" s="297"/>
      <c r="AS75" s="146"/>
      <c r="AU75" s="290"/>
      <c r="AV75" s="471" t="str">
        <f>IF(Roster!$B$16=0,"",Roster!$B$16)</f>
        <v/>
      </c>
      <c r="AW75" s="296"/>
      <c r="AX75" s="296"/>
      <c r="AY75" s="296"/>
      <c r="AZ75" s="296"/>
      <c r="BA75" s="296"/>
      <c r="BB75" s="296"/>
      <c r="BC75" s="296"/>
      <c r="BD75" s="296"/>
      <c r="BE75" s="296"/>
      <c r="BF75" s="296"/>
      <c r="BG75" s="297"/>
      <c r="BH75" s="146"/>
    </row>
    <row r="76" spans="2:60" ht="11.25" customHeight="1" x14ac:dyDescent="0.2">
      <c r="B76" s="450"/>
      <c r="C76" s="477" t="str">
        <f>IF(Roster!$D$13=0,"",Roster!$D$13)</f>
        <v>Journey Goblin</v>
      </c>
      <c r="D76" s="296"/>
      <c r="E76" s="296"/>
      <c r="F76" s="296"/>
      <c r="G76" s="296"/>
      <c r="H76" s="296"/>
      <c r="I76" s="296"/>
      <c r="J76" s="296"/>
      <c r="K76" s="296"/>
      <c r="L76" s="296"/>
      <c r="M76" s="296"/>
      <c r="N76" s="297"/>
      <c r="O76" s="147"/>
      <c r="Q76" s="450"/>
      <c r="R76" s="477" t="str">
        <f>IF(Roster!$D$14=0,"",Roster!$D$14)</f>
        <v>Journey Goblin</v>
      </c>
      <c r="S76" s="296"/>
      <c r="T76" s="296"/>
      <c r="U76" s="296"/>
      <c r="V76" s="296"/>
      <c r="W76" s="296"/>
      <c r="X76" s="296"/>
      <c r="Y76" s="296"/>
      <c r="Z76" s="296"/>
      <c r="AA76" s="296"/>
      <c r="AB76" s="296"/>
      <c r="AC76" s="297"/>
      <c r="AD76" s="147"/>
      <c r="AF76" s="450"/>
      <c r="AG76" s="477" t="str">
        <f>IF(Roster!$D$15=0,"",Roster!$D$15)</f>
        <v>Journey Goblin</v>
      </c>
      <c r="AH76" s="296"/>
      <c r="AI76" s="296"/>
      <c r="AJ76" s="296"/>
      <c r="AK76" s="296"/>
      <c r="AL76" s="296"/>
      <c r="AM76" s="296"/>
      <c r="AN76" s="296"/>
      <c r="AO76" s="296"/>
      <c r="AP76" s="296"/>
      <c r="AQ76" s="296"/>
      <c r="AR76" s="297"/>
      <c r="AS76" s="147"/>
      <c r="AU76" s="450"/>
      <c r="AV76" s="477" t="str">
        <f>IF(Roster!$D$16=0,"",Roster!$D$16)</f>
        <v/>
      </c>
      <c r="AW76" s="296"/>
      <c r="AX76" s="296"/>
      <c r="AY76" s="296"/>
      <c r="AZ76" s="296"/>
      <c r="BA76" s="296"/>
      <c r="BB76" s="296"/>
      <c r="BC76" s="296"/>
      <c r="BD76" s="296"/>
      <c r="BE76" s="296"/>
      <c r="BF76" s="296"/>
      <c r="BG76" s="297"/>
      <c r="BH76" s="147"/>
    </row>
    <row r="77" spans="2:60" ht="11.25" customHeight="1" x14ac:dyDescent="0.2">
      <c r="B77" s="150" t="str">
        <f>IF(Roster!$K$1=0,"",Roster!$K$1)</f>
        <v>MA</v>
      </c>
      <c r="C77" s="149"/>
      <c r="D77" s="490"/>
      <c r="E77" s="490"/>
      <c r="F77" s="490"/>
      <c r="G77" s="490"/>
      <c r="H77" s="490"/>
      <c r="I77" s="490"/>
      <c r="J77" s="490"/>
      <c r="K77" s="490"/>
      <c r="L77" s="490"/>
      <c r="M77" s="490"/>
      <c r="N77" s="490"/>
      <c r="O77" s="146"/>
      <c r="Q77" s="150" t="str">
        <f>IF(Roster!$K$1=0,"",Roster!$K$1)</f>
        <v>MA</v>
      </c>
      <c r="R77" s="149"/>
      <c r="S77" s="490"/>
      <c r="T77" s="490"/>
      <c r="U77" s="490"/>
      <c r="V77" s="490"/>
      <c r="W77" s="490"/>
      <c r="X77" s="490"/>
      <c r="Y77" s="490"/>
      <c r="Z77" s="490"/>
      <c r="AA77" s="490"/>
      <c r="AB77" s="490"/>
      <c r="AC77" s="490"/>
      <c r="AD77" s="146"/>
      <c r="AF77" s="150" t="str">
        <f>IF(Roster!$K$1=0,"",Roster!$K$1)</f>
        <v>MA</v>
      </c>
      <c r="AG77" s="149"/>
      <c r="AH77" s="490"/>
      <c r="AI77" s="490"/>
      <c r="AJ77" s="490"/>
      <c r="AK77" s="490"/>
      <c r="AL77" s="490"/>
      <c r="AM77" s="490"/>
      <c r="AN77" s="490"/>
      <c r="AO77" s="490"/>
      <c r="AP77" s="490"/>
      <c r="AQ77" s="490"/>
      <c r="AR77" s="490"/>
      <c r="AS77" s="146"/>
      <c r="AU77" s="150" t="str">
        <f>IF(Roster!$K$1=0,"",Roster!$K$1)</f>
        <v>MA</v>
      </c>
      <c r="AV77" s="149"/>
      <c r="AW77" s="490"/>
      <c r="AX77" s="490"/>
      <c r="AY77" s="490"/>
      <c r="AZ77" s="490"/>
      <c r="BA77" s="490"/>
      <c r="BB77" s="490"/>
      <c r="BC77" s="490"/>
      <c r="BD77" s="490"/>
      <c r="BE77" s="490"/>
      <c r="BF77" s="490"/>
      <c r="BG77" s="490"/>
      <c r="BH77" s="146"/>
    </row>
    <row r="78" spans="2:60" ht="37.5" customHeight="1" x14ac:dyDescent="0.2">
      <c r="B78" s="152">
        <f>IF(Roster!$K$13=0,"",Roster!$K$13)</f>
        <v>6</v>
      </c>
      <c r="C78" s="149"/>
      <c r="D78" s="490"/>
      <c r="E78" s="490"/>
      <c r="F78" s="490"/>
      <c r="G78" s="490"/>
      <c r="H78" s="490"/>
      <c r="I78" s="490"/>
      <c r="J78" s="490"/>
      <c r="K78" s="490"/>
      <c r="L78" s="490"/>
      <c r="M78" s="490"/>
      <c r="N78" s="490"/>
      <c r="O78" s="146"/>
      <c r="Q78" s="152">
        <f>IF(Roster!$K$14=0,"",Roster!$K$14)</f>
        <v>6</v>
      </c>
      <c r="R78" s="149"/>
      <c r="S78" s="490"/>
      <c r="T78" s="490"/>
      <c r="U78" s="490"/>
      <c r="V78" s="490"/>
      <c r="W78" s="490"/>
      <c r="X78" s="490"/>
      <c r="Y78" s="490"/>
      <c r="Z78" s="490"/>
      <c r="AA78" s="490"/>
      <c r="AB78" s="490"/>
      <c r="AC78" s="490"/>
      <c r="AD78" s="146"/>
      <c r="AF78" s="152">
        <f>IF(Roster!$K$15=0,"",Roster!$K$15)</f>
        <v>6</v>
      </c>
      <c r="AG78" s="149"/>
      <c r="AH78" s="490"/>
      <c r="AI78" s="490"/>
      <c r="AJ78" s="490"/>
      <c r="AK78" s="490"/>
      <c r="AL78" s="490"/>
      <c r="AM78" s="490"/>
      <c r="AN78" s="490"/>
      <c r="AO78" s="490"/>
      <c r="AP78" s="490"/>
      <c r="AQ78" s="490"/>
      <c r="AR78" s="490"/>
      <c r="AS78" s="146"/>
      <c r="AU78" s="152" t="str">
        <f>IF(Roster!$K$16=0,"",Roster!$K$16)</f>
        <v/>
      </c>
      <c r="AV78" s="149"/>
      <c r="AW78" s="490"/>
      <c r="AX78" s="490"/>
      <c r="AY78" s="490"/>
      <c r="AZ78" s="490"/>
      <c r="BA78" s="490"/>
      <c r="BB78" s="490"/>
      <c r="BC78" s="490"/>
      <c r="BD78" s="490"/>
      <c r="BE78" s="490"/>
      <c r="BF78" s="490"/>
      <c r="BG78" s="490"/>
      <c r="BH78" s="146"/>
    </row>
    <row r="79" spans="2:60" ht="11.25" customHeight="1" x14ac:dyDescent="0.2">
      <c r="B79" s="150" t="str">
        <f>IF(Roster!$L$1=0,"",Roster!$L$1)</f>
        <v>ST</v>
      </c>
      <c r="C79" s="149"/>
      <c r="D79" s="490"/>
      <c r="E79" s="490"/>
      <c r="F79" s="490"/>
      <c r="G79" s="490"/>
      <c r="H79" s="490"/>
      <c r="I79" s="490"/>
      <c r="J79" s="490"/>
      <c r="K79" s="490"/>
      <c r="L79" s="490"/>
      <c r="M79" s="490"/>
      <c r="N79" s="490"/>
      <c r="O79" s="146"/>
      <c r="Q79" s="150" t="str">
        <f>IF(Roster!$L$1=0,"",Roster!$L$1)</f>
        <v>ST</v>
      </c>
      <c r="R79" s="149"/>
      <c r="S79" s="490"/>
      <c r="T79" s="490"/>
      <c r="U79" s="490"/>
      <c r="V79" s="490"/>
      <c r="W79" s="490"/>
      <c r="X79" s="490"/>
      <c r="Y79" s="490"/>
      <c r="Z79" s="490"/>
      <c r="AA79" s="490"/>
      <c r="AB79" s="490"/>
      <c r="AC79" s="490"/>
      <c r="AD79" s="146"/>
      <c r="AF79" s="150" t="str">
        <f>IF(Roster!$L$1=0,"",Roster!$L$1)</f>
        <v>ST</v>
      </c>
      <c r="AG79" s="149"/>
      <c r="AH79" s="490"/>
      <c r="AI79" s="490"/>
      <c r="AJ79" s="490"/>
      <c r="AK79" s="490"/>
      <c r="AL79" s="490"/>
      <c r="AM79" s="490"/>
      <c r="AN79" s="490"/>
      <c r="AO79" s="490"/>
      <c r="AP79" s="490"/>
      <c r="AQ79" s="490"/>
      <c r="AR79" s="490"/>
      <c r="AS79" s="146"/>
      <c r="AU79" s="150" t="str">
        <f>IF(Roster!$L$1=0,"",Roster!$L$1)</f>
        <v>ST</v>
      </c>
      <c r="AV79" s="149"/>
      <c r="AW79" s="490"/>
      <c r="AX79" s="490"/>
      <c r="AY79" s="490"/>
      <c r="AZ79" s="490"/>
      <c r="BA79" s="490"/>
      <c r="BB79" s="490"/>
      <c r="BC79" s="490"/>
      <c r="BD79" s="490"/>
      <c r="BE79" s="490"/>
      <c r="BF79" s="490"/>
      <c r="BG79" s="490"/>
      <c r="BH79" s="146"/>
    </row>
    <row r="80" spans="2:60" ht="37.5" customHeight="1" x14ac:dyDescent="0.2">
      <c r="B80" s="152">
        <f>IF(Roster!$L$13=0,"",Roster!$L$13)</f>
        <v>2</v>
      </c>
      <c r="C80" s="149"/>
      <c r="D80" s="490"/>
      <c r="E80" s="490"/>
      <c r="F80" s="490"/>
      <c r="G80" s="490"/>
      <c r="H80" s="490"/>
      <c r="I80" s="490"/>
      <c r="J80" s="490"/>
      <c r="K80" s="490"/>
      <c r="L80" s="490"/>
      <c r="M80" s="490"/>
      <c r="N80" s="490"/>
      <c r="O80" s="146"/>
      <c r="Q80" s="152">
        <f>IF(Roster!$L$14=0,"",Roster!$L$14)</f>
        <v>2</v>
      </c>
      <c r="R80" s="149"/>
      <c r="S80" s="490"/>
      <c r="T80" s="490"/>
      <c r="U80" s="490"/>
      <c r="V80" s="490"/>
      <c r="W80" s="490"/>
      <c r="X80" s="490"/>
      <c r="Y80" s="490"/>
      <c r="Z80" s="490"/>
      <c r="AA80" s="490"/>
      <c r="AB80" s="490"/>
      <c r="AC80" s="490"/>
      <c r="AD80" s="146"/>
      <c r="AF80" s="152">
        <f>IF(Roster!$L$15=0,"",Roster!$L$15)</f>
        <v>2</v>
      </c>
      <c r="AG80" s="149"/>
      <c r="AH80" s="490"/>
      <c r="AI80" s="490"/>
      <c r="AJ80" s="490"/>
      <c r="AK80" s="490"/>
      <c r="AL80" s="490"/>
      <c r="AM80" s="490"/>
      <c r="AN80" s="490"/>
      <c r="AO80" s="490"/>
      <c r="AP80" s="490"/>
      <c r="AQ80" s="490"/>
      <c r="AR80" s="490"/>
      <c r="AS80" s="146"/>
      <c r="AU80" s="152" t="str">
        <f>IF(Roster!$L$16=0,"",Roster!$L$16)</f>
        <v/>
      </c>
      <c r="AV80" s="149"/>
      <c r="AW80" s="490"/>
      <c r="AX80" s="490"/>
      <c r="AY80" s="490"/>
      <c r="AZ80" s="490"/>
      <c r="BA80" s="490"/>
      <c r="BB80" s="490"/>
      <c r="BC80" s="490"/>
      <c r="BD80" s="490"/>
      <c r="BE80" s="490"/>
      <c r="BF80" s="490"/>
      <c r="BG80" s="490"/>
      <c r="BH80" s="146"/>
    </row>
    <row r="81" spans="2:60" ht="11.25" customHeight="1" x14ac:dyDescent="0.2">
      <c r="B81" s="150" t="str">
        <f>IF(Roster!$M$1=0,"",Roster!$M$1)</f>
        <v>AG</v>
      </c>
      <c r="C81" s="149"/>
      <c r="D81" s="490"/>
      <c r="E81" s="490"/>
      <c r="F81" s="490"/>
      <c r="G81" s="490"/>
      <c r="H81" s="490"/>
      <c r="I81" s="490"/>
      <c r="J81" s="490"/>
      <c r="K81" s="490"/>
      <c r="L81" s="490"/>
      <c r="M81" s="490"/>
      <c r="N81" s="490"/>
      <c r="O81" s="146"/>
      <c r="Q81" s="150" t="str">
        <f>IF(Roster!$M$1=0,"",Roster!$M$1)</f>
        <v>AG</v>
      </c>
      <c r="R81" s="149"/>
      <c r="S81" s="490"/>
      <c r="T81" s="490"/>
      <c r="U81" s="490"/>
      <c r="V81" s="490"/>
      <c r="W81" s="490"/>
      <c r="X81" s="490"/>
      <c r="Y81" s="490"/>
      <c r="Z81" s="490"/>
      <c r="AA81" s="490"/>
      <c r="AB81" s="490"/>
      <c r="AC81" s="490"/>
      <c r="AD81" s="146"/>
      <c r="AF81" s="150" t="str">
        <f>IF(Roster!$M$1=0,"",Roster!$M$1)</f>
        <v>AG</v>
      </c>
      <c r="AG81" s="149"/>
      <c r="AH81" s="490"/>
      <c r="AI81" s="490"/>
      <c r="AJ81" s="490"/>
      <c r="AK81" s="490"/>
      <c r="AL81" s="490"/>
      <c r="AM81" s="490"/>
      <c r="AN81" s="490"/>
      <c r="AO81" s="490"/>
      <c r="AP81" s="490"/>
      <c r="AQ81" s="490"/>
      <c r="AR81" s="490"/>
      <c r="AS81" s="146"/>
      <c r="AU81" s="150" t="str">
        <f>IF(Roster!$M$1=0,"",Roster!$M$1)</f>
        <v>AG</v>
      </c>
      <c r="AV81" s="149"/>
      <c r="AW81" s="490"/>
      <c r="AX81" s="490"/>
      <c r="AY81" s="490"/>
      <c r="AZ81" s="490"/>
      <c r="BA81" s="490"/>
      <c r="BB81" s="490"/>
      <c r="BC81" s="490"/>
      <c r="BD81" s="490"/>
      <c r="BE81" s="490"/>
      <c r="BF81" s="490"/>
      <c r="BG81" s="490"/>
      <c r="BH81" s="146"/>
    </row>
    <row r="82" spans="2:60" ht="37.5" customHeight="1" x14ac:dyDescent="0.2">
      <c r="B82" s="152" t="str">
        <f>IF(Roster!$M$13=0&amp;"+","",Roster!$M$13)</f>
        <v>3+</v>
      </c>
      <c r="C82" s="149"/>
      <c r="D82" s="490"/>
      <c r="E82" s="490"/>
      <c r="F82" s="490"/>
      <c r="G82" s="490"/>
      <c r="H82" s="490"/>
      <c r="I82" s="490"/>
      <c r="J82" s="490"/>
      <c r="K82" s="490"/>
      <c r="L82" s="490"/>
      <c r="M82" s="490"/>
      <c r="N82" s="490"/>
      <c r="O82" s="146"/>
      <c r="Q82" s="152" t="str">
        <f>IF(Roster!$M$14=0&amp;"+","",Roster!$M$14)</f>
        <v>3+</v>
      </c>
      <c r="R82" s="149"/>
      <c r="S82" s="490"/>
      <c r="T82" s="490"/>
      <c r="U82" s="490"/>
      <c r="V82" s="490"/>
      <c r="W82" s="490"/>
      <c r="X82" s="490"/>
      <c r="Y82" s="490"/>
      <c r="Z82" s="490"/>
      <c r="AA82" s="490"/>
      <c r="AB82" s="490"/>
      <c r="AC82" s="490"/>
      <c r="AD82" s="146"/>
      <c r="AF82" s="152" t="str">
        <f>IF(Roster!$M$15=0&amp;"+","",Roster!$M$15)</f>
        <v>3+</v>
      </c>
      <c r="AG82" s="149"/>
      <c r="AH82" s="490"/>
      <c r="AI82" s="490"/>
      <c r="AJ82" s="490"/>
      <c r="AK82" s="490"/>
      <c r="AL82" s="490"/>
      <c r="AM82" s="490"/>
      <c r="AN82" s="490"/>
      <c r="AO82" s="490"/>
      <c r="AP82" s="490"/>
      <c r="AQ82" s="490"/>
      <c r="AR82" s="490"/>
      <c r="AS82" s="146"/>
      <c r="AU82" s="152" t="str">
        <f>IF(Roster!$M$16=0&amp;"+","",Roster!$M$16)</f>
        <v/>
      </c>
      <c r="AV82" s="149"/>
      <c r="AW82" s="490"/>
      <c r="AX82" s="490"/>
      <c r="AY82" s="490"/>
      <c r="AZ82" s="490"/>
      <c r="BA82" s="490"/>
      <c r="BB82" s="490"/>
      <c r="BC82" s="490"/>
      <c r="BD82" s="490"/>
      <c r="BE82" s="490"/>
      <c r="BF82" s="490"/>
      <c r="BG82" s="490"/>
      <c r="BH82" s="146"/>
    </row>
    <row r="83" spans="2:60" ht="11.25" customHeight="1" x14ac:dyDescent="0.2">
      <c r="B83" s="150" t="str">
        <f>IF(Roster!$N$1=0,"",Roster!$N$1)</f>
        <v>PA</v>
      </c>
      <c r="C83" s="149"/>
      <c r="D83" s="490"/>
      <c r="E83" s="490"/>
      <c r="F83" s="490"/>
      <c r="G83" s="490"/>
      <c r="H83" s="490"/>
      <c r="I83" s="490"/>
      <c r="J83" s="490"/>
      <c r="K83" s="490"/>
      <c r="L83" s="490"/>
      <c r="M83" s="490"/>
      <c r="N83" s="490"/>
      <c r="O83" s="155"/>
      <c r="Q83" s="150" t="str">
        <f>IF(Roster!$N$1=0,"",Roster!$N$1)</f>
        <v>PA</v>
      </c>
      <c r="R83" s="149"/>
      <c r="S83" s="490"/>
      <c r="T83" s="490"/>
      <c r="U83" s="490"/>
      <c r="V83" s="490"/>
      <c r="W83" s="490"/>
      <c r="X83" s="490"/>
      <c r="Y83" s="490"/>
      <c r="Z83" s="490"/>
      <c r="AA83" s="490"/>
      <c r="AB83" s="490"/>
      <c r="AC83" s="490"/>
      <c r="AD83" s="155"/>
      <c r="AF83" s="150" t="str">
        <f>IF(Roster!$N$1=0,"",Roster!$N$1)</f>
        <v>PA</v>
      </c>
      <c r="AG83" s="149"/>
      <c r="AH83" s="490"/>
      <c r="AI83" s="490"/>
      <c r="AJ83" s="490"/>
      <c r="AK83" s="490"/>
      <c r="AL83" s="490"/>
      <c r="AM83" s="490"/>
      <c r="AN83" s="490"/>
      <c r="AO83" s="490"/>
      <c r="AP83" s="490"/>
      <c r="AQ83" s="490"/>
      <c r="AR83" s="490"/>
      <c r="AS83" s="155"/>
      <c r="AU83" s="150" t="str">
        <f>IF(Roster!$N$1=0,"",Roster!$N$1)</f>
        <v>PA</v>
      </c>
      <c r="AV83" s="149"/>
      <c r="AW83" s="490"/>
      <c r="AX83" s="490"/>
      <c r="AY83" s="490"/>
      <c r="AZ83" s="490"/>
      <c r="BA83" s="490"/>
      <c r="BB83" s="490"/>
      <c r="BC83" s="490"/>
      <c r="BD83" s="490"/>
      <c r="BE83" s="490"/>
      <c r="BF83" s="490"/>
      <c r="BG83" s="490"/>
      <c r="BH83" s="155"/>
    </row>
    <row r="84" spans="2:60" ht="6" customHeight="1" x14ac:dyDescent="0.2">
      <c r="B84" s="479" t="str">
        <f>IF(Roster!$N$13=0&amp;"+","",Roster!$N$13)</f>
        <v>4+</v>
      </c>
      <c r="C84" s="149"/>
      <c r="D84" s="490"/>
      <c r="E84" s="490"/>
      <c r="F84" s="490"/>
      <c r="G84" s="490"/>
      <c r="H84" s="490"/>
      <c r="I84" s="490"/>
      <c r="J84" s="490"/>
      <c r="K84" s="490"/>
      <c r="L84" s="490"/>
      <c r="M84" s="490"/>
      <c r="N84" s="490"/>
      <c r="O84" s="157"/>
      <c r="Q84" s="479" t="str">
        <f>IF(Roster!$N$14=0&amp;"+","",Roster!$N$14)</f>
        <v>4+</v>
      </c>
      <c r="R84" s="149"/>
      <c r="S84" s="490"/>
      <c r="T84" s="490"/>
      <c r="U84" s="490"/>
      <c r="V84" s="490"/>
      <c r="W84" s="490"/>
      <c r="X84" s="490"/>
      <c r="Y84" s="490"/>
      <c r="Z84" s="490"/>
      <c r="AA84" s="490"/>
      <c r="AB84" s="490"/>
      <c r="AC84" s="490"/>
      <c r="AD84" s="157"/>
      <c r="AF84" s="479" t="str">
        <f>IF(Roster!$N$15=0&amp;"+","",Roster!$N$15)</f>
        <v>4+</v>
      </c>
      <c r="AG84" s="149"/>
      <c r="AH84" s="490"/>
      <c r="AI84" s="490"/>
      <c r="AJ84" s="490"/>
      <c r="AK84" s="490"/>
      <c r="AL84" s="490"/>
      <c r="AM84" s="490"/>
      <c r="AN84" s="490"/>
      <c r="AO84" s="490"/>
      <c r="AP84" s="490"/>
      <c r="AQ84" s="490"/>
      <c r="AR84" s="490"/>
      <c r="AS84" s="157"/>
      <c r="AU84" s="479" t="str">
        <f>IF(Roster!$N$16=0&amp;"+","",Roster!$N$16)</f>
        <v/>
      </c>
      <c r="AV84" s="149"/>
      <c r="AW84" s="490"/>
      <c r="AX84" s="490"/>
      <c r="AY84" s="490"/>
      <c r="AZ84" s="490"/>
      <c r="BA84" s="490"/>
      <c r="BB84" s="490"/>
      <c r="BC84" s="490"/>
      <c r="BD84" s="490"/>
      <c r="BE84" s="490"/>
      <c r="BF84" s="490"/>
      <c r="BG84" s="490"/>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0"/>
      <c r="C88" s="151"/>
      <c r="D88" s="160"/>
      <c r="E88" s="151"/>
      <c r="F88" s="160"/>
      <c r="G88" s="151"/>
      <c r="H88" s="160"/>
      <c r="I88" s="151"/>
      <c r="J88" s="160"/>
      <c r="K88" s="151"/>
      <c r="L88" s="160"/>
      <c r="M88" s="151"/>
      <c r="N88" s="160"/>
      <c r="O88" s="157"/>
      <c r="Q88" s="450"/>
      <c r="R88" s="151"/>
      <c r="S88" s="160"/>
      <c r="T88" s="151"/>
      <c r="U88" s="160"/>
      <c r="V88" s="151"/>
      <c r="W88" s="160"/>
      <c r="X88" s="151"/>
      <c r="Y88" s="160"/>
      <c r="Z88" s="151"/>
      <c r="AA88" s="160"/>
      <c r="AB88" s="151"/>
      <c r="AC88" s="160"/>
      <c r="AD88" s="157"/>
      <c r="AF88" s="450"/>
      <c r="AG88" s="151"/>
      <c r="AH88" s="160"/>
      <c r="AI88" s="151"/>
      <c r="AJ88" s="160"/>
      <c r="AK88" s="151"/>
      <c r="AL88" s="160"/>
      <c r="AM88" s="151"/>
      <c r="AN88" s="160"/>
      <c r="AO88" s="151"/>
      <c r="AP88" s="160"/>
      <c r="AQ88" s="151"/>
      <c r="AR88" s="160"/>
      <c r="AS88" s="157"/>
      <c r="AU88" s="450"/>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9"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9"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9"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9"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6" t="str">
        <f>IF(Roster!$K$25="Italiano","ABILITÀ &amp; TRATTI",(IF(Roster!$K$25="Español","HABILIDADES Y RASGOS","SKILLS &amp; TRAITS")))</f>
        <v>SKILLS &amp; TRAITS</v>
      </c>
      <c r="E92" s="296"/>
      <c r="F92" s="296"/>
      <c r="G92" s="296"/>
      <c r="H92" s="296"/>
      <c r="I92" s="296"/>
      <c r="J92" s="296"/>
      <c r="K92" s="296"/>
      <c r="L92" s="296"/>
      <c r="M92" s="296"/>
      <c r="N92" s="297"/>
      <c r="O92" s="161"/>
      <c r="Q92" s="290"/>
      <c r="R92" s="151"/>
      <c r="S92" s="476" t="str">
        <f>IF(Roster!$K$25="Italiano","ABILITÀ &amp; TRATTI",(IF(Roster!$K$25="Español","HABILIDADES Y RASGOS","SKILLS &amp; TRAITS")))</f>
        <v>SKILLS &amp; TRAITS</v>
      </c>
      <c r="T92" s="296"/>
      <c r="U92" s="296"/>
      <c r="V92" s="296"/>
      <c r="W92" s="296"/>
      <c r="X92" s="296"/>
      <c r="Y92" s="296"/>
      <c r="Z92" s="296"/>
      <c r="AA92" s="296"/>
      <c r="AB92" s="296"/>
      <c r="AC92" s="297"/>
      <c r="AD92" s="161"/>
      <c r="AF92" s="290"/>
      <c r="AG92" s="151"/>
      <c r="AH92" s="476" t="str">
        <f>IF(Roster!$K$25="Italiano","ABILITÀ &amp; TRATTI",(IF(Roster!$K$25="Español","HABILIDADES Y RASGOS","SKILLS &amp; TRAITS")))</f>
        <v>SKILLS &amp; TRAITS</v>
      </c>
      <c r="AI92" s="296"/>
      <c r="AJ92" s="296"/>
      <c r="AK92" s="296"/>
      <c r="AL92" s="296"/>
      <c r="AM92" s="296"/>
      <c r="AN92" s="296"/>
      <c r="AO92" s="296"/>
      <c r="AP92" s="296"/>
      <c r="AQ92" s="296"/>
      <c r="AR92" s="297"/>
      <c r="AS92" s="161"/>
      <c r="AU92" s="290"/>
      <c r="AV92" s="151"/>
      <c r="AW92" s="476" t="str">
        <f>IF(Roster!$K$25="Italiano","ABILITÀ &amp; TRATTI",(IF(Roster!$K$25="Español","HABILIDADES Y RASGOS","SKILLS &amp; TRAITS")))</f>
        <v>SKILLS &amp; TRAITS</v>
      </c>
      <c r="AX92" s="296"/>
      <c r="AY92" s="296"/>
      <c r="AZ92" s="296"/>
      <c r="BA92" s="296"/>
      <c r="BB92" s="296"/>
      <c r="BC92" s="296"/>
      <c r="BD92" s="296"/>
      <c r="BE92" s="296"/>
      <c r="BF92" s="296"/>
      <c r="BG92" s="297"/>
      <c r="BH92" s="161"/>
    </row>
    <row r="93" spans="2:60" ht="6.75" customHeight="1" x14ac:dyDescent="0.2">
      <c r="B93" s="450"/>
      <c r="C93" s="151"/>
      <c r="D93" s="480" t="str">
        <f>IF(Roster!$P$13=0&amp;BF13,"",Roster!$P$13)</f>
        <v>Loner (4+), Dodge, Right Stuff, Stunty, Thick Skull</v>
      </c>
      <c r="E93" s="481"/>
      <c r="F93" s="481"/>
      <c r="G93" s="481"/>
      <c r="H93" s="481"/>
      <c r="I93" s="481"/>
      <c r="J93" s="481"/>
      <c r="K93" s="481"/>
      <c r="L93" s="481"/>
      <c r="M93" s="481"/>
      <c r="N93" s="482"/>
      <c r="O93" s="161"/>
      <c r="Q93" s="450"/>
      <c r="R93" s="151"/>
      <c r="S93" s="480" t="str">
        <f>IF(Roster!$P$14=0&amp;BF14,"",Roster!$P$14)</f>
        <v>Loner (4+), Dodge, Right Stuff, Stunty, Thick Skull</v>
      </c>
      <c r="T93" s="481"/>
      <c r="U93" s="481"/>
      <c r="V93" s="481"/>
      <c r="W93" s="481"/>
      <c r="X93" s="481"/>
      <c r="Y93" s="481"/>
      <c r="Z93" s="481"/>
      <c r="AA93" s="481"/>
      <c r="AB93" s="481"/>
      <c r="AC93" s="482"/>
      <c r="AD93" s="161"/>
      <c r="AF93" s="450"/>
      <c r="AG93" s="151"/>
      <c r="AH93" s="480" t="str">
        <f>IF(Roster!$P$15=0&amp;BF15,"",Roster!$P$15)</f>
        <v>Loner (4+), Dodge, Right Stuff, Stunty, Thick Skull</v>
      </c>
      <c r="AI93" s="481"/>
      <c r="AJ93" s="481"/>
      <c r="AK93" s="481"/>
      <c r="AL93" s="481"/>
      <c r="AM93" s="481"/>
      <c r="AN93" s="481"/>
      <c r="AO93" s="481"/>
      <c r="AP93" s="481"/>
      <c r="AQ93" s="481"/>
      <c r="AR93" s="482"/>
      <c r="AS93" s="161"/>
      <c r="AU93" s="450"/>
      <c r="AV93" s="151"/>
      <c r="AW93" s="480" t="str">
        <f>IF(Roster!$P$16=0&amp;BF16,"",Roster!$P$16)</f>
        <v/>
      </c>
      <c r="AX93" s="481"/>
      <c r="AY93" s="481"/>
      <c r="AZ93" s="481"/>
      <c r="BA93" s="481"/>
      <c r="BB93" s="481"/>
      <c r="BC93" s="481"/>
      <c r="BD93" s="481"/>
      <c r="BE93" s="481"/>
      <c r="BF93" s="481"/>
      <c r="BG93" s="482"/>
      <c r="BH93" s="161"/>
    </row>
    <row r="94" spans="2:60" ht="11.25" customHeight="1" x14ac:dyDescent="0.2">
      <c r="B94" s="150" t="str">
        <f>IF(Roster!$AO$1=0,"",Roster!$AO$1)</f>
        <v>COST</v>
      </c>
      <c r="C94" s="150"/>
      <c r="D94" s="483"/>
      <c r="E94" s="484"/>
      <c r="F94" s="484"/>
      <c r="G94" s="484"/>
      <c r="H94" s="484"/>
      <c r="I94" s="484"/>
      <c r="J94" s="484"/>
      <c r="K94" s="484"/>
      <c r="L94" s="484"/>
      <c r="M94" s="484"/>
      <c r="N94" s="485"/>
      <c r="O94" s="162"/>
      <c r="Q94" s="150" t="str">
        <f>IF(Roster!$AO$1=0,"",Roster!$AO$1)</f>
        <v>COST</v>
      </c>
      <c r="R94" s="150"/>
      <c r="S94" s="483"/>
      <c r="T94" s="484"/>
      <c r="U94" s="484"/>
      <c r="V94" s="484"/>
      <c r="W94" s="484"/>
      <c r="X94" s="484"/>
      <c r="Y94" s="484"/>
      <c r="Z94" s="484"/>
      <c r="AA94" s="484"/>
      <c r="AB94" s="484"/>
      <c r="AC94" s="485"/>
      <c r="AD94" s="162"/>
      <c r="AF94" s="150" t="str">
        <f>IF(Roster!$AO$1=0,"",Roster!$AO$1)</f>
        <v>COST</v>
      </c>
      <c r="AG94" s="150"/>
      <c r="AH94" s="483"/>
      <c r="AI94" s="484"/>
      <c r="AJ94" s="484"/>
      <c r="AK94" s="484"/>
      <c r="AL94" s="484"/>
      <c r="AM94" s="484"/>
      <c r="AN94" s="484"/>
      <c r="AO94" s="484"/>
      <c r="AP94" s="484"/>
      <c r="AQ94" s="484"/>
      <c r="AR94" s="485"/>
      <c r="AS94" s="162"/>
      <c r="AU94" s="150" t="str">
        <f>IF(Roster!$AO$1=0,"",Roster!$AO$1)</f>
        <v>COST</v>
      </c>
      <c r="AV94" s="150"/>
      <c r="AW94" s="483"/>
      <c r="AX94" s="484"/>
      <c r="AY94" s="484"/>
      <c r="AZ94" s="484"/>
      <c r="BA94" s="484"/>
      <c r="BB94" s="484"/>
      <c r="BC94" s="484"/>
      <c r="BD94" s="484"/>
      <c r="BE94" s="484"/>
      <c r="BF94" s="484"/>
      <c r="BG94" s="485"/>
      <c r="BH94" s="162"/>
    </row>
    <row r="95" spans="2:60" ht="34.5" customHeight="1" x14ac:dyDescent="0.2">
      <c r="B95" s="164" t="str">
        <f>IF(Roster!$AO$13=0,"",Roster!$AO$13)</f>
        <v/>
      </c>
      <c r="C95" s="165"/>
      <c r="D95" s="486"/>
      <c r="E95" s="487"/>
      <c r="F95" s="487"/>
      <c r="G95" s="487"/>
      <c r="H95" s="487"/>
      <c r="I95" s="487"/>
      <c r="J95" s="487"/>
      <c r="K95" s="487"/>
      <c r="L95" s="487"/>
      <c r="M95" s="487"/>
      <c r="N95" s="488"/>
      <c r="O95" s="162"/>
      <c r="Q95" s="164" t="str">
        <f>IF(Roster!$AO$14=0,"",Roster!$AO$14)</f>
        <v/>
      </c>
      <c r="R95" s="165"/>
      <c r="S95" s="486"/>
      <c r="T95" s="487"/>
      <c r="U95" s="487"/>
      <c r="V95" s="487"/>
      <c r="W95" s="487"/>
      <c r="X95" s="487"/>
      <c r="Y95" s="487"/>
      <c r="Z95" s="487"/>
      <c r="AA95" s="487"/>
      <c r="AB95" s="487"/>
      <c r="AC95" s="488"/>
      <c r="AD95" s="162"/>
      <c r="AF95" s="164" t="str">
        <f>IF(Roster!$AO$15=0,"",Roster!$AO$15)</f>
        <v/>
      </c>
      <c r="AG95" s="165"/>
      <c r="AH95" s="486"/>
      <c r="AI95" s="487"/>
      <c r="AJ95" s="487"/>
      <c r="AK95" s="487"/>
      <c r="AL95" s="487"/>
      <c r="AM95" s="487"/>
      <c r="AN95" s="487"/>
      <c r="AO95" s="487"/>
      <c r="AP95" s="487"/>
      <c r="AQ95" s="487"/>
      <c r="AR95" s="488"/>
      <c r="AS95" s="162"/>
      <c r="AU95" s="164" t="str">
        <f>IF(Roster!$AO$16=0,"",Roster!$AO$16)</f>
        <v/>
      </c>
      <c r="AV95" s="165"/>
      <c r="AW95" s="486"/>
      <c r="AX95" s="487"/>
      <c r="AY95" s="487"/>
      <c r="AZ95" s="487"/>
      <c r="BA95" s="487"/>
      <c r="BB95" s="487"/>
      <c r="BC95" s="487"/>
      <c r="BD95" s="487"/>
      <c r="BE95" s="487"/>
      <c r="BF95" s="487"/>
      <c r="BG95" s="488"/>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8" t="str">
        <f>IF(Roster!$A$17=0,"","#"&amp;Roster!$A$17)</f>
        <v>#16</v>
      </c>
      <c r="C98" s="146"/>
      <c r="D98" s="146"/>
      <c r="E98" s="146"/>
      <c r="F98" s="146"/>
      <c r="G98" s="146"/>
      <c r="H98" s="146"/>
      <c r="I98" s="146"/>
      <c r="J98" s="146"/>
      <c r="K98" s="146"/>
      <c r="L98" s="146"/>
      <c r="M98" s="146"/>
      <c r="N98" s="146"/>
      <c r="O98" s="146"/>
      <c r="Q98" s="489"/>
      <c r="R98" s="146"/>
      <c r="S98" s="146"/>
      <c r="T98" s="146"/>
      <c r="U98" s="146"/>
      <c r="V98" s="146"/>
      <c r="W98" s="146"/>
      <c r="X98" s="146"/>
      <c r="Y98" s="146"/>
      <c r="Z98" s="146"/>
      <c r="AA98" s="146"/>
      <c r="AB98" s="146"/>
      <c r="AC98" s="146"/>
      <c r="AD98" s="146"/>
      <c r="AF98" s="489"/>
      <c r="AG98" s="146"/>
      <c r="AH98" s="146"/>
      <c r="AI98" s="146"/>
      <c r="AJ98" s="146"/>
      <c r="AK98" s="146"/>
      <c r="AL98" s="146"/>
      <c r="AM98" s="146"/>
      <c r="AN98" s="146"/>
      <c r="AO98" s="146"/>
      <c r="AP98" s="146"/>
      <c r="AQ98" s="146"/>
      <c r="AR98" s="146"/>
      <c r="AS98" s="146"/>
      <c r="AU98" s="489"/>
      <c r="AV98" s="146"/>
      <c r="AW98" s="146"/>
      <c r="AX98" s="146"/>
      <c r="AY98" s="146"/>
      <c r="AZ98" s="146"/>
      <c r="BA98" s="146"/>
      <c r="BB98" s="146"/>
      <c r="BC98" s="146"/>
      <c r="BD98" s="146"/>
      <c r="BE98" s="146"/>
      <c r="BF98" s="146"/>
      <c r="BG98" s="146"/>
      <c r="BH98" s="146"/>
    </row>
    <row r="99" spans="2:60" ht="15" customHeight="1" x14ac:dyDescent="0.25">
      <c r="B99" s="290"/>
      <c r="C99" s="471" t="str">
        <f>IF(Roster!$B$17=0,"",Roster!$B$17)</f>
        <v/>
      </c>
      <c r="D99" s="296"/>
      <c r="E99" s="296"/>
      <c r="F99" s="296"/>
      <c r="G99" s="296"/>
      <c r="H99" s="296"/>
      <c r="I99" s="296"/>
      <c r="J99" s="296"/>
      <c r="K99" s="296"/>
      <c r="L99" s="296"/>
      <c r="M99" s="296"/>
      <c r="N99" s="297"/>
      <c r="O99" s="146"/>
      <c r="Q99" s="290"/>
      <c r="R99" s="472" t="str">
        <f>IF(Roster!$B$18=0,"","("&amp;Roster!$B$18&amp;")")</f>
        <v>(Star Player &amp; Mercenary)</v>
      </c>
      <c r="S99" s="473"/>
      <c r="T99" s="473"/>
      <c r="U99" s="473"/>
      <c r="V99" s="473"/>
      <c r="W99" s="473"/>
      <c r="X99" s="473"/>
      <c r="Y99" s="473"/>
      <c r="Z99" s="473"/>
      <c r="AA99" s="473"/>
      <c r="AB99" s="473"/>
      <c r="AC99" s="474"/>
      <c r="AD99" s="146"/>
      <c r="AF99" s="290"/>
      <c r="AG99" s="472" t="str">
        <f>IF(Roster!$B$19=0,"","("&amp;Roster!$B$19&amp;")")</f>
        <v>(Star Player &amp; Mercenary)</v>
      </c>
      <c r="AH99" s="473"/>
      <c r="AI99" s="473"/>
      <c r="AJ99" s="473"/>
      <c r="AK99" s="473"/>
      <c r="AL99" s="473"/>
      <c r="AM99" s="473"/>
      <c r="AN99" s="473"/>
      <c r="AO99" s="473"/>
      <c r="AP99" s="473"/>
      <c r="AQ99" s="473"/>
      <c r="AR99" s="474"/>
      <c r="AS99" s="146"/>
      <c r="AU99" s="290"/>
      <c r="AV99" s="472" t="str">
        <f>IF(Roster!$B$20=0,"","("&amp;Roster!$B$20&amp;")")</f>
        <v>(Mercenary)</v>
      </c>
      <c r="AW99" s="473"/>
      <c r="AX99" s="473"/>
      <c r="AY99" s="473"/>
      <c r="AZ99" s="473"/>
      <c r="BA99" s="473"/>
      <c r="BB99" s="473"/>
      <c r="BC99" s="473"/>
      <c r="BD99" s="473"/>
      <c r="BE99" s="473"/>
      <c r="BF99" s="473"/>
      <c r="BG99" s="474"/>
      <c r="BH99" s="146"/>
    </row>
    <row r="100" spans="2:60" ht="11.25" customHeight="1" x14ac:dyDescent="0.2">
      <c r="B100" s="450"/>
      <c r="C100" s="477" t="str">
        <f>IF(Roster!$D$17=0,"",Roster!$D$17)</f>
        <v/>
      </c>
      <c r="D100" s="296"/>
      <c r="E100" s="296"/>
      <c r="F100" s="296"/>
      <c r="G100" s="296"/>
      <c r="H100" s="296"/>
      <c r="I100" s="296"/>
      <c r="J100" s="296"/>
      <c r="K100" s="296"/>
      <c r="L100" s="296"/>
      <c r="M100" s="296"/>
      <c r="N100" s="297"/>
      <c r="O100" s="147"/>
      <c r="Q100" s="450"/>
      <c r="R100" s="491" t="str">
        <f>IF(Roster!$D$18=0,"",Roster!$D$18)</f>
        <v/>
      </c>
      <c r="S100" s="491"/>
      <c r="T100" s="491"/>
      <c r="U100" s="491"/>
      <c r="V100" s="491"/>
      <c r="W100" s="491"/>
      <c r="X100" s="491"/>
      <c r="Y100" s="491"/>
      <c r="Z100" s="491"/>
      <c r="AA100" s="491"/>
      <c r="AB100" s="491"/>
      <c r="AC100" s="491"/>
      <c r="AD100" s="147"/>
      <c r="AF100" s="450"/>
      <c r="AG100" s="475" t="str">
        <f>IF(Roster!$D$19=0,"",Roster!$D$19)</f>
        <v/>
      </c>
      <c r="AH100" s="475"/>
      <c r="AI100" s="475"/>
      <c r="AJ100" s="475"/>
      <c r="AK100" s="475"/>
      <c r="AL100" s="475"/>
      <c r="AM100" s="475"/>
      <c r="AN100" s="475"/>
      <c r="AO100" s="475"/>
      <c r="AP100" s="475"/>
      <c r="AQ100" s="475"/>
      <c r="AR100" s="475"/>
      <c r="AS100" s="147"/>
      <c r="AU100" s="450"/>
      <c r="AV100" s="475" t="str">
        <f>IF(Roster!$D$20=0,"",Roster!$D$20)</f>
        <v/>
      </c>
      <c r="AW100" s="475"/>
      <c r="AX100" s="475"/>
      <c r="AY100" s="475"/>
      <c r="AZ100" s="475"/>
      <c r="BA100" s="475"/>
      <c r="BB100" s="475"/>
      <c r="BC100" s="475"/>
      <c r="BD100" s="475"/>
      <c r="BE100" s="475"/>
      <c r="BF100" s="475"/>
      <c r="BG100" s="475"/>
      <c r="BH100" s="147"/>
    </row>
    <row r="101" spans="2:60" ht="11.25" customHeight="1" x14ac:dyDescent="0.2">
      <c r="B101" s="150" t="str">
        <f>IF(Roster!$K$1=0,"",Roster!$K$1)</f>
        <v>MA</v>
      </c>
      <c r="C101" s="149"/>
      <c r="D101" s="490"/>
      <c r="E101" s="490"/>
      <c r="F101" s="490"/>
      <c r="G101" s="490"/>
      <c r="H101" s="490"/>
      <c r="I101" s="490"/>
      <c r="J101" s="490"/>
      <c r="K101" s="490"/>
      <c r="L101" s="490"/>
      <c r="M101" s="490"/>
      <c r="N101" s="490"/>
      <c r="O101" s="146"/>
      <c r="Q101" s="150" t="str">
        <f>IF(Roster!$K$1=0,"",Roster!$K$1)</f>
        <v>MA</v>
      </c>
      <c r="R101" s="491"/>
      <c r="S101" s="491"/>
      <c r="T101" s="491"/>
      <c r="U101" s="491"/>
      <c r="V101" s="491"/>
      <c r="W101" s="491"/>
      <c r="X101" s="491"/>
      <c r="Y101" s="491"/>
      <c r="Z101" s="491"/>
      <c r="AA101" s="491"/>
      <c r="AB101" s="491"/>
      <c r="AC101" s="491"/>
      <c r="AD101" s="146"/>
      <c r="AF101" s="150" t="str">
        <f>IF(Roster!$K$1=0,"",Roster!$K$1)</f>
        <v>MA</v>
      </c>
      <c r="AG101" s="475"/>
      <c r="AH101" s="475"/>
      <c r="AI101" s="475"/>
      <c r="AJ101" s="475"/>
      <c r="AK101" s="475"/>
      <c r="AL101" s="475"/>
      <c r="AM101" s="475"/>
      <c r="AN101" s="475"/>
      <c r="AO101" s="475"/>
      <c r="AP101" s="475"/>
      <c r="AQ101" s="475"/>
      <c r="AR101" s="475"/>
      <c r="AS101" s="146"/>
      <c r="AU101" s="150" t="str">
        <f>IF(Roster!$K$1=0,"",Roster!$K$1)</f>
        <v>MA</v>
      </c>
      <c r="AV101" s="475"/>
      <c r="AW101" s="475"/>
      <c r="AX101" s="475"/>
      <c r="AY101" s="475"/>
      <c r="AZ101" s="475"/>
      <c r="BA101" s="475"/>
      <c r="BB101" s="475"/>
      <c r="BC101" s="475"/>
      <c r="BD101" s="475"/>
      <c r="BE101" s="475"/>
      <c r="BF101" s="475"/>
      <c r="BG101" s="475"/>
      <c r="BH101" s="146"/>
    </row>
    <row r="102" spans="2:60" ht="37.5" customHeight="1" x14ac:dyDescent="0.2">
      <c r="B102" s="152" t="str">
        <f>IF(Roster!$K$17=0,"",Roster!$K$17)</f>
        <v/>
      </c>
      <c r="C102" s="149"/>
      <c r="D102" s="490"/>
      <c r="E102" s="490"/>
      <c r="F102" s="490"/>
      <c r="G102" s="490"/>
      <c r="H102" s="490"/>
      <c r="I102" s="490"/>
      <c r="J102" s="490"/>
      <c r="K102" s="490"/>
      <c r="L102" s="490"/>
      <c r="M102" s="490"/>
      <c r="N102" s="490"/>
      <c r="O102" s="146"/>
      <c r="Q102" s="152" t="str">
        <f>IF(Roster!$K$18=0,"",Roster!$K$18)</f>
        <v/>
      </c>
      <c r="R102" s="491"/>
      <c r="S102" s="491"/>
      <c r="T102" s="491"/>
      <c r="U102" s="491"/>
      <c r="V102" s="491"/>
      <c r="W102" s="491"/>
      <c r="X102" s="491"/>
      <c r="Y102" s="491"/>
      <c r="Z102" s="491"/>
      <c r="AA102" s="491"/>
      <c r="AB102" s="491"/>
      <c r="AC102" s="491"/>
      <c r="AD102" s="146"/>
      <c r="AF102" s="152" t="str">
        <f>IF(Roster!$K$19=0,"",Roster!$K$19)</f>
        <v/>
      </c>
      <c r="AG102" s="475"/>
      <c r="AH102" s="475"/>
      <c r="AI102" s="475"/>
      <c r="AJ102" s="475"/>
      <c r="AK102" s="475"/>
      <c r="AL102" s="475"/>
      <c r="AM102" s="475"/>
      <c r="AN102" s="475"/>
      <c r="AO102" s="475"/>
      <c r="AP102" s="475"/>
      <c r="AQ102" s="475"/>
      <c r="AR102" s="475"/>
      <c r="AS102" s="146"/>
      <c r="AU102" s="152" t="str">
        <f>IF(Roster!$K$20=0,"",Roster!$K$20)</f>
        <v/>
      </c>
      <c r="AV102" s="475"/>
      <c r="AW102" s="475"/>
      <c r="AX102" s="475"/>
      <c r="AY102" s="475"/>
      <c r="AZ102" s="475"/>
      <c r="BA102" s="475"/>
      <c r="BB102" s="475"/>
      <c r="BC102" s="475"/>
      <c r="BD102" s="475"/>
      <c r="BE102" s="475"/>
      <c r="BF102" s="475"/>
      <c r="BG102" s="475"/>
      <c r="BH102" s="146"/>
    </row>
    <row r="103" spans="2:60" ht="11.25" customHeight="1" x14ac:dyDescent="0.2">
      <c r="B103" s="150" t="str">
        <f>IF(Roster!$L$1=0,"",Roster!$L$1)</f>
        <v>ST</v>
      </c>
      <c r="C103" s="149"/>
      <c r="D103" s="490"/>
      <c r="E103" s="490"/>
      <c r="F103" s="490"/>
      <c r="G103" s="490"/>
      <c r="H103" s="490"/>
      <c r="I103" s="490"/>
      <c r="J103" s="490"/>
      <c r="K103" s="490"/>
      <c r="L103" s="490"/>
      <c r="M103" s="490"/>
      <c r="N103" s="490"/>
      <c r="O103" s="146"/>
      <c r="Q103" s="150" t="str">
        <f>IF(Roster!$L$1=0,"",Roster!$L$1)</f>
        <v>ST</v>
      </c>
      <c r="R103" s="150"/>
      <c r="S103" s="476" t="str">
        <f>IF(Roster!$K$25="Italiano","REGOLE SPECIALI",(IF(Roster!$K$25="Español","REGLA ESPECIAL","SPECIAL RULE")))</f>
        <v>SPECIAL RULE</v>
      </c>
      <c r="T103" s="296"/>
      <c r="U103" s="296"/>
      <c r="V103" s="296"/>
      <c r="W103" s="296"/>
      <c r="X103" s="296"/>
      <c r="Y103" s="296"/>
      <c r="Z103" s="296"/>
      <c r="AA103" s="296"/>
      <c r="AB103" s="296"/>
      <c r="AC103" s="297"/>
      <c r="AD103" s="146"/>
      <c r="AF103" s="150" t="str">
        <f>IF(Roster!$L$1=0,"",Roster!$L$1)</f>
        <v>ST</v>
      </c>
      <c r="AG103" s="195"/>
      <c r="AH103" s="476" t="str">
        <f>IF(Roster!$K$25="Italiano","REGOLE SPECIALI",(IF(Roster!$K$25="Español","REGLA ESPECIAL","SPECIAL RULE")))</f>
        <v>SPECIAL RULE</v>
      </c>
      <c r="AI103" s="296"/>
      <c r="AJ103" s="296"/>
      <c r="AK103" s="296"/>
      <c r="AL103" s="296"/>
      <c r="AM103" s="296"/>
      <c r="AN103" s="296"/>
      <c r="AO103" s="296"/>
      <c r="AP103" s="296"/>
      <c r="AQ103" s="296"/>
      <c r="AR103" s="297"/>
      <c r="AS103" s="146"/>
      <c r="AU103" s="150" t="str">
        <f>IF(Roster!$L$1=0,"",Roster!$L$1)</f>
        <v>ST</v>
      </c>
      <c r="AV103" s="195"/>
      <c r="AW103" s="476" t="str">
        <f>IF(Roster!$K$25="Italiano","REGOLE SPECIALI",(IF(Roster!$K$25="Español","REGLA ESPECIAL","SPECIAL RULE")))</f>
        <v>SPECIAL RULE</v>
      </c>
      <c r="AX103" s="296"/>
      <c r="AY103" s="296"/>
      <c r="AZ103" s="296"/>
      <c r="BA103" s="296"/>
      <c r="BB103" s="296"/>
      <c r="BC103" s="296"/>
      <c r="BD103" s="296"/>
      <c r="BE103" s="296"/>
      <c r="BF103" s="296"/>
      <c r="BG103" s="297"/>
      <c r="BH103" s="146"/>
    </row>
    <row r="104" spans="2:60" ht="37.5" customHeight="1" x14ac:dyDescent="0.2">
      <c r="B104" s="152" t="str">
        <f>IF(Roster!$L$17=0,"",Roster!$L$17)</f>
        <v/>
      </c>
      <c r="C104" s="149"/>
      <c r="D104" s="490"/>
      <c r="E104" s="490"/>
      <c r="F104" s="490"/>
      <c r="G104" s="490"/>
      <c r="H104" s="490"/>
      <c r="I104" s="490"/>
      <c r="J104" s="490"/>
      <c r="K104" s="490"/>
      <c r="L104" s="490"/>
      <c r="M104" s="490"/>
      <c r="N104" s="490"/>
      <c r="O104" s="146"/>
      <c r="Q104" s="152" t="str">
        <f>IF(Roster!$L$18=0,"",Roster!$L$18)</f>
        <v/>
      </c>
      <c r="R104" s="150"/>
      <c r="S104" s="493" t="str">
        <f>IF(Roster!$AA$18=0,"",Roster!$AA$18)</f>
        <v/>
      </c>
      <c r="T104" s="493"/>
      <c r="U104" s="493"/>
      <c r="V104" s="493"/>
      <c r="W104" s="493"/>
      <c r="X104" s="493"/>
      <c r="Y104" s="493"/>
      <c r="Z104" s="493"/>
      <c r="AA104" s="493"/>
      <c r="AB104" s="493"/>
      <c r="AC104" s="493"/>
      <c r="AD104" s="146"/>
      <c r="AF104" s="152" t="str">
        <f>IF(Roster!$L$19=0,"",Roster!$L$19)</f>
        <v/>
      </c>
      <c r="AG104" s="195"/>
      <c r="AH104" s="493" t="str">
        <f>IF(Roster!$AA$19=0,"",Roster!$AA$19)</f>
        <v/>
      </c>
      <c r="AI104" s="493"/>
      <c r="AJ104" s="493"/>
      <c r="AK104" s="493"/>
      <c r="AL104" s="493"/>
      <c r="AM104" s="493"/>
      <c r="AN104" s="493"/>
      <c r="AO104" s="493"/>
      <c r="AP104" s="493"/>
      <c r="AQ104" s="493"/>
      <c r="AR104" s="493"/>
      <c r="AS104" s="146"/>
      <c r="AU104" s="152" t="str">
        <f>IF(Roster!$L$20=0,"",Roster!$L$20)</f>
        <v/>
      </c>
      <c r="AV104" s="195"/>
      <c r="AW104" s="493" t="str">
        <f>IF(Roster!$AA$20=0,"",Roster!$AA$20)</f>
        <v/>
      </c>
      <c r="AX104" s="493"/>
      <c r="AY104" s="493"/>
      <c r="AZ104" s="493"/>
      <c r="BA104" s="493"/>
      <c r="BB104" s="493"/>
      <c r="BC104" s="493"/>
      <c r="BD104" s="493"/>
      <c r="BE104" s="493"/>
      <c r="BF104" s="493"/>
      <c r="BG104" s="493"/>
      <c r="BH104" s="146"/>
    </row>
    <row r="105" spans="2:60" ht="11.25" customHeight="1" x14ac:dyDescent="0.2">
      <c r="B105" s="150" t="str">
        <f>IF(Roster!$M$1=0,"",Roster!$M$1)</f>
        <v>AG</v>
      </c>
      <c r="C105" s="149"/>
      <c r="D105" s="490"/>
      <c r="E105" s="490"/>
      <c r="F105" s="490"/>
      <c r="G105" s="490"/>
      <c r="H105" s="490"/>
      <c r="I105" s="490"/>
      <c r="J105" s="490"/>
      <c r="K105" s="490"/>
      <c r="L105" s="490"/>
      <c r="M105" s="490"/>
      <c r="N105" s="490"/>
      <c r="O105" s="146"/>
      <c r="Q105" s="150" t="str">
        <f>IF(Roster!$M$1=0,"",Roster!$M$1)</f>
        <v>AG</v>
      </c>
      <c r="R105" s="150"/>
      <c r="S105" s="493"/>
      <c r="T105" s="493"/>
      <c r="U105" s="493"/>
      <c r="V105" s="493"/>
      <c r="W105" s="493"/>
      <c r="X105" s="493"/>
      <c r="Y105" s="493"/>
      <c r="Z105" s="493"/>
      <c r="AA105" s="493"/>
      <c r="AB105" s="493"/>
      <c r="AC105" s="493"/>
      <c r="AD105" s="146"/>
      <c r="AF105" s="150" t="str">
        <f>IF(Roster!$M$1=0,"",Roster!$M$1)</f>
        <v>AG</v>
      </c>
      <c r="AG105" s="195"/>
      <c r="AH105" s="493"/>
      <c r="AI105" s="493"/>
      <c r="AJ105" s="493"/>
      <c r="AK105" s="493"/>
      <c r="AL105" s="493"/>
      <c r="AM105" s="493"/>
      <c r="AN105" s="493"/>
      <c r="AO105" s="493"/>
      <c r="AP105" s="493"/>
      <c r="AQ105" s="493"/>
      <c r="AR105" s="493"/>
      <c r="AS105" s="146"/>
      <c r="AU105" s="150" t="str">
        <f>IF(Roster!$M$1=0,"",Roster!$M$1)</f>
        <v>AG</v>
      </c>
      <c r="AV105" s="195"/>
      <c r="AW105" s="493"/>
      <c r="AX105" s="493"/>
      <c r="AY105" s="493"/>
      <c r="AZ105" s="493"/>
      <c r="BA105" s="493"/>
      <c r="BB105" s="493"/>
      <c r="BC105" s="493"/>
      <c r="BD105" s="493"/>
      <c r="BE105" s="493"/>
      <c r="BF105" s="493"/>
      <c r="BG105" s="493"/>
      <c r="BH105" s="146"/>
    </row>
    <row r="106" spans="2:60" ht="37.5" customHeight="1" x14ac:dyDescent="0.2">
      <c r="B106" s="152" t="str">
        <f>IF(Roster!$M$17=0&amp;"+","",Roster!$M$17)</f>
        <v/>
      </c>
      <c r="C106" s="149"/>
      <c r="D106" s="490"/>
      <c r="E106" s="490"/>
      <c r="F106" s="490"/>
      <c r="G106" s="490"/>
      <c r="H106" s="490"/>
      <c r="I106" s="490"/>
      <c r="J106" s="490"/>
      <c r="K106" s="490"/>
      <c r="L106" s="490"/>
      <c r="M106" s="490"/>
      <c r="N106" s="490"/>
      <c r="O106" s="146"/>
      <c r="Q106" s="152" t="str">
        <f>IF(Roster!$M$18=0,"",Roster!$M$18)</f>
        <v/>
      </c>
      <c r="R106" s="150"/>
      <c r="S106" s="493"/>
      <c r="T106" s="493"/>
      <c r="U106" s="493"/>
      <c r="V106" s="493"/>
      <c r="W106" s="493"/>
      <c r="X106" s="493"/>
      <c r="Y106" s="493"/>
      <c r="Z106" s="493"/>
      <c r="AA106" s="493"/>
      <c r="AB106" s="493"/>
      <c r="AC106" s="493"/>
      <c r="AD106" s="146"/>
      <c r="AF106" s="152" t="str">
        <f>IF(Roster!$M$19=0,"",Roster!$M$19)</f>
        <v/>
      </c>
      <c r="AG106" s="195"/>
      <c r="AH106" s="493"/>
      <c r="AI106" s="493"/>
      <c r="AJ106" s="493"/>
      <c r="AK106" s="493"/>
      <c r="AL106" s="493"/>
      <c r="AM106" s="493"/>
      <c r="AN106" s="493"/>
      <c r="AO106" s="493"/>
      <c r="AP106" s="493"/>
      <c r="AQ106" s="493"/>
      <c r="AR106" s="493"/>
      <c r="AS106" s="146"/>
      <c r="AU106" s="152" t="str">
        <f>IF(Roster!$M$20=0,"",Roster!$M$20)</f>
        <v/>
      </c>
      <c r="AV106" s="195"/>
      <c r="AW106" s="493"/>
      <c r="AX106" s="493"/>
      <c r="AY106" s="493"/>
      <c r="AZ106" s="493"/>
      <c r="BA106" s="493"/>
      <c r="BB106" s="493"/>
      <c r="BC106" s="493"/>
      <c r="BD106" s="493"/>
      <c r="BE106" s="493"/>
      <c r="BF106" s="493"/>
      <c r="BG106" s="493"/>
      <c r="BH106" s="146"/>
    </row>
    <row r="107" spans="2:60" ht="11.25" customHeight="1" x14ac:dyDescent="0.2">
      <c r="B107" s="150" t="str">
        <f>IF(Roster!$N$1=0,"",Roster!$N$1)</f>
        <v>PA</v>
      </c>
      <c r="C107" s="149"/>
      <c r="D107" s="490"/>
      <c r="E107" s="490"/>
      <c r="F107" s="490"/>
      <c r="G107" s="490"/>
      <c r="H107" s="490"/>
      <c r="I107" s="490"/>
      <c r="J107" s="490"/>
      <c r="K107" s="490"/>
      <c r="L107" s="490"/>
      <c r="M107" s="490"/>
      <c r="N107" s="490"/>
      <c r="O107" s="155"/>
      <c r="Q107" s="150" t="str">
        <f>IF(Roster!$N$1=0,"",Roster!$N$1)</f>
        <v>PA</v>
      </c>
      <c r="R107" s="150"/>
      <c r="S107" s="493"/>
      <c r="T107" s="493"/>
      <c r="U107" s="493"/>
      <c r="V107" s="493"/>
      <c r="W107" s="493"/>
      <c r="X107" s="493"/>
      <c r="Y107" s="493"/>
      <c r="Z107" s="493"/>
      <c r="AA107" s="493"/>
      <c r="AB107" s="493"/>
      <c r="AC107" s="493"/>
      <c r="AD107" s="155"/>
      <c r="AF107" s="150" t="str">
        <f>IF(Roster!$N$1=0,"",Roster!$N$1)</f>
        <v>PA</v>
      </c>
      <c r="AG107" s="195"/>
      <c r="AH107" s="493"/>
      <c r="AI107" s="493"/>
      <c r="AJ107" s="493"/>
      <c r="AK107" s="493"/>
      <c r="AL107" s="493"/>
      <c r="AM107" s="493"/>
      <c r="AN107" s="493"/>
      <c r="AO107" s="493"/>
      <c r="AP107" s="493"/>
      <c r="AQ107" s="493"/>
      <c r="AR107" s="493"/>
      <c r="AS107" s="155"/>
      <c r="AU107" s="150" t="str">
        <f>IF(Roster!$N$1=0,"",Roster!$N$1)</f>
        <v>PA</v>
      </c>
      <c r="AV107" s="195"/>
      <c r="AW107" s="493"/>
      <c r="AX107" s="493"/>
      <c r="AY107" s="493"/>
      <c r="AZ107" s="493"/>
      <c r="BA107" s="493"/>
      <c r="BB107" s="493"/>
      <c r="BC107" s="493"/>
      <c r="BD107" s="493"/>
      <c r="BE107" s="493"/>
      <c r="BF107" s="493"/>
      <c r="BG107" s="493"/>
      <c r="BH107" s="155"/>
    </row>
    <row r="108" spans="2:60" ht="6" customHeight="1" x14ac:dyDescent="0.2">
      <c r="B108" s="479" t="str">
        <f>IF(Roster!$N$17=0&amp;"+","",Roster!$N$17)</f>
        <v/>
      </c>
      <c r="C108" s="149"/>
      <c r="D108" s="490"/>
      <c r="E108" s="490"/>
      <c r="F108" s="490"/>
      <c r="G108" s="490"/>
      <c r="H108" s="490"/>
      <c r="I108" s="490"/>
      <c r="J108" s="490"/>
      <c r="K108" s="490"/>
      <c r="L108" s="490"/>
      <c r="M108" s="490"/>
      <c r="N108" s="490"/>
      <c r="O108" s="157"/>
      <c r="Q108" s="479" t="str">
        <f>IF(Roster!$N$18=0,"",Roster!$N$18)</f>
        <v/>
      </c>
      <c r="R108" s="150"/>
      <c r="S108" s="493"/>
      <c r="T108" s="493"/>
      <c r="U108" s="493"/>
      <c r="V108" s="493"/>
      <c r="W108" s="493"/>
      <c r="X108" s="493"/>
      <c r="Y108" s="493"/>
      <c r="Z108" s="493"/>
      <c r="AA108" s="493"/>
      <c r="AB108" s="493"/>
      <c r="AC108" s="493"/>
      <c r="AD108" s="157"/>
      <c r="AF108" s="479" t="str">
        <f>IF(Roster!$N$19=0,"",Roster!$N$19)</f>
        <v/>
      </c>
      <c r="AG108" s="196"/>
      <c r="AH108" s="493"/>
      <c r="AI108" s="493"/>
      <c r="AJ108" s="493"/>
      <c r="AK108" s="493"/>
      <c r="AL108" s="493"/>
      <c r="AM108" s="493"/>
      <c r="AN108" s="493"/>
      <c r="AO108" s="493"/>
      <c r="AP108" s="493"/>
      <c r="AQ108" s="493"/>
      <c r="AR108" s="493"/>
      <c r="AS108" s="157"/>
      <c r="AU108" s="479" t="str">
        <f>IF(Roster!$N$20=0,"",Roster!$N$20)</f>
        <v/>
      </c>
      <c r="AV108" s="196"/>
      <c r="AW108" s="493"/>
      <c r="AX108" s="493"/>
      <c r="AY108" s="493"/>
      <c r="AZ108" s="493"/>
      <c r="BA108" s="493"/>
      <c r="BB108" s="493"/>
      <c r="BC108" s="493"/>
      <c r="BD108" s="493"/>
      <c r="BE108" s="493"/>
      <c r="BF108" s="493"/>
      <c r="BG108" s="493"/>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93"/>
      <c r="T109" s="493"/>
      <c r="U109" s="493"/>
      <c r="V109" s="493"/>
      <c r="W109" s="493"/>
      <c r="X109" s="493"/>
      <c r="Y109" s="493"/>
      <c r="Z109" s="493"/>
      <c r="AA109" s="493"/>
      <c r="AB109" s="493"/>
      <c r="AC109" s="493"/>
      <c r="AD109" s="157"/>
      <c r="AF109" s="290"/>
      <c r="AG109" s="191"/>
      <c r="AH109" s="493"/>
      <c r="AI109" s="493"/>
      <c r="AJ109" s="493"/>
      <c r="AK109" s="493"/>
      <c r="AL109" s="493"/>
      <c r="AM109" s="493"/>
      <c r="AN109" s="493"/>
      <c r="AO109" s="493"/>
      <c r="AP109" s="493"/>
      <c r="AQ109" s="493"/>
      <c r="AR109" s="493"/>
      <c r="AS109" s="157"/>
      <c r="AU109" s="290"/>
      <c r="AV109" s="191"/>
      <c r="AW109" s="493"/>
      <c r="AX109" s="493"/>
      <c r="AY109" s="493"/>
      <c r="AZ109" s="493"/>
      <c r="BA109" s="493"/>
      <c r="BB109" s="493"/>
      <c r="BC109" s="493"/>
      <c r="BD109" s="493"/>
      <c r="BE109" s="493"/>
      <c r="BF109" s="493"/>
      <c r="BG109" s="493"/>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93"/>
      <c r="T110" s="493"/>
      <c r="U110" s="493"/>
      <c r="V110" s="493"/>
      <c r="W110" s="493"/>
      <c r="X110" s="493"/>
      <c r="Y110" s="493"/>
      <c r="Z110" s="493"/>
      <c r="AA110" s="493"/>
      <c r="AB110" s="493"/>
      <c r="AC110" s="493"/>
      <c r="AD110" s="157"/>
      <c r="AF110" s="290"/>
      <c r="AG110" s="191"/>
      <c r="AH110" s="493"/>
      <c r="AI110" s="493"/>
      <c r="AJ110" s="493"/>
      <c r="AK110" s="493"/>
      <c r="AL110" s="493"/>
      <c r="AM110" s="493"/>
      <c r="AN110" s="493"/>
      <c r="AO110" s="493"/>
      <c r="AP110" s="493"/>
      <c r="AQ110" s="493"/>
      <c r="AR110" s="493"/>
      <c r="AS110" s="157"/>
      <c r="AU110" s="290"/>
      <c r="AV110" s="191"/>
      <c r="AW110" s="493"/>
      <c r="AX110" s="493"/>
      <c r="AY110" s="493"/>
      <c r="AZ110" s="493"/>
      <c r="BA110" s="493"/>
      <c r="BB110" s="493"/>
      <c r="BC110" s="493"/>
      <c r="BD110" s="493"/>
      <c r="BE110" s="493"/>
      <c r="BF110" s="493"/>
      <c r="BG110" s="493"/>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93"/>
      <c r="T111" s="493"/>
      <c r="U111" s="493"/>
      <c r="V111" s="493"/>
      <c r="W111" s="493"/>
      <c r="X111" s="493"/>
      <c r="Y111" s="493"/>
      <c r="Z111" s="493"/>
      <c r="AA111" s="493"/>
      <c r="AB111" s="493"/>
      <c r="AC111" s="493"/>
      <c r="AD111" s="157"/>
      <c r="AF111" s="290"/>
      <c r="AG111" s="192"/>
      <c r="AH111" s="493"/>
      <c r="AI111" s="493"/>
      <c r="AJ111" s="493"/>
      <c r="AK111" s="493"/>
      <c r="AL111" s="493"/>
      <c r="AM111" s="493"/>
      <c r="AN111" s="493"/>
      <c r="AO111" s="493"/>
      <c r="AP111" s="493"/>
      <c r="AQ111" s="493"/>
      <c r="AR111" s="493"/>
      <c r="AS111" s="157"/>
      <c r="AU111" s="290"/>
      <c r="AV111" s="192"/>
      <c r="AW111" s="493"/>
      <c r="AX111" s="493"/>
      <c r="AY111" s="493"/>
      <c r="AZ111" s="493"/>
      <c r="BA111" s="493"/>
      <c r="BB111" s="493"/>
      <c r="BC111" s="493"/>
      <c r="BD111" s="493"/>
      <c r="BE111" s="493"/>
      <c r="BF111" s="493"/>
      <c r="BG111" s="493"/>
      <c r="BH111" s="157"/>
    </row>
    <row r="112" spans="2:60" ht="4.5" customHeight="1" x14ac:dyDescent="0.2">
      <c r="B112" s="450"/>
      <c r="C112" s="151"/>
      <c r="D112" s="160"/>
      <c r="E112" s="151"/>
      <c r="F112" s="160"/>
      <c r="G112" s="151"/>
      <c r="H112" s="160"/>
      <c r="I112" s="151"/>
      <c r="J112" s="160"/>
      <c r="K112" s="151"/>
      <c r="L112" s="160"/>
      <c r="M112" s="151"/>
      <c r="N112" s="160"/>
      <c r="O112" s="157"/>
      <c r="Q112" s="450"/>
      <c r="R112" s="151"/>
      <c r="S112" s="165"/>
      <c r="T112" s="165"/>
      <c r="U112" s="165"/>
      <c r="V112" s="165"/>
      <c r="W112" s="165"/>
      <c r="X112" s="165"/>
      <c r="Y112" s="165"/>
      <c r="Z112" s="165"/>
      <c r="AA112" s="165"/>
      <c r="AB112" s="165"/>
      <c r="AC112" s="146"/>
      <c r="AD112" s="157"/>
      <c r="AF112" s="450"/>
      <c r="AG112" s="191"/>
      <c r="AH112" s="165"/>
      <c r="AI112" s="165"/>
      <c r="AJ112" s="165"/>
      <c r="AK112" s="165"/>
      <c r="AL112" s="165"/>
      <c r="AM112" s="165"/>
      <c r="AN112" s="165"/>
      <c r="AO112" s="165"/>
      <c r="AP112" s="165"/>
      <c r="AQ112" s="165"/>
      <c r="AR112" s="146"/>
      <c r="AS112" s="157"/>
      <c r="AU112" s="450"/>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6" t="str">
        <f>IF(Roster!$K$25="Italiano","ABILITÀ &amp; TRATTI",(IF(Roster!$K$25="Español","HABILIDADES Y RASGOS","SKILLS &amp; TRAITS")))</f>
        <v>SKILLS &amp; TRAITS</v>
      </c>
      <c r="T113" s="296"/>
      <c r="U113" s="296"/>
      <c r="V113" s="296"/>
      <c r="W113" s="296"/>
      <c r="X113" s="296"/>
      <c r="Y113" s="296"/>
      <c r="Z113" s="296"/>
      <c r="AA113" s="296"/>
      <c r="AB113" s="296"/>
      <c r="AC113" s="297"/>
      <c r="AD113" s="146"/>
      <c r="AF113" s="150" t="str">
        <f>IF(Roster!$O$1=0,"",Roster!$O$1)</f>
        <v>AV</v>
      </c>
      <c r="AG113" s="191"/>
      <c r="AH113" s="476" t="str">
        <f>IF(Roster!$K$25="Italiano","ABILITÀ &amp; TRATTI",(IF(Roster!$K$25="Español","HABILIDADES Y RASGOS","SKILLS &amp; TRAITS")))</f>
        <v>SKILLS &amp; TRAITS</v>
      </c>
      <c r="AI113" s="296"/>
      <c r="AJ113" s="296"/>
      <c r="AK113" s="296"/>
      <c r="AL113" s="296"/>
      <c r="AM113" s="296"/>
      <c r="AN113" s="296"/>
      <c r="AO113" s="296"/>
      <c r="AP113" s="296"/>
      <c r="AQ113" s="296"/>
      <c r="AR113" s="297"/>
      <c r="AS113" s="146"/>
      <c r="AU113" s="150" t="str">
        <f>IF(Roster!$O$1=0,"",Roster!$O$1)</f>
        <v>AV</v>
      </c>
      <c r="AV113" s="191"/>
      <c r="AW113" s="476" t="str">
        <f>IF(Roster!$K$25="Italiano","ABILITÀ &amp; TRATTI",(IF(Roster!$K$25="Español","HABILIDADES Y RASGOS","SKILLS &amp; TRAITS")))</f>
        <v>SKILLS &amp; TRAITS</v>
      </c>
      <c r="AX113" s="296"/>
      <c r="AY113" s="296"/>
      <c r="AZ113" s="296"/>
      <c r="BA113" s="296"/>
      <c r="BB113" s="296"/>
      <c r="BC113" s="296"/>
      <c r="BD113" s="296"/>
      <c r="BE113" s="296"/>
      <c r="BF113" s="296"/>
      <c r="BG113" s="297"/>
      <c r="BH113" s="146"/>
    </row>
    <row r="114" spans="2:60" ht="15" customHeight="1" x14ac:dyDescent="0.2">
      <c r="B114" s="479"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9" t="str">
        <f>IF(Roster!$O$18=0,"",Roster!$O$18)</f>
        <v/>
      </c>
      <c r="R114" s="150"/>
      <c r="S114" s="492" t="str">
        <f>IF(Roster!$P$18=0,"",Roster!$P$18)</f>
        <v/>
      </c>
      <c r="T114" s="492"/>
      <c r="U114" s="492"/>
      <c r="V114" s="492"/>
      <c r="W114" s="492"/>
      <c r="X114" s="492"/>
      <c r="Y114" s="492"/>
      <c r="Z114" s="492"/>
      <c r="AA114" s="492"/>
      <c r="AB114" s="492"/>
      <c r="AC114" s="492"/>
      <c r="AD114" s="161"/>
      <c r="AF114" s="479" t="str">
        <f>IF(Roster!$O$19=0,"",Roster!$O$19)</f>
        <v/>
      </c>
      <c r="AG114" s="192"/>
      <c r="AH114" s="492" t="str">
        <f>IF(Roster!$P$19=0,"",Roster!$P$19)</f>
        <v/>
      </c>
      <c r="AI114" s="492"/>
      <c r="AJ114" s="492"/>
      <c r="AK114" s="492"/>
      <c r="AL114" s="492"/>
      <c r="AM114" s="492"/>
      <c r="AN114" s="492"/>
      <c r="AO114" s="492"/>
      <c r="AP114" s="492"/>
      <c r="AQ114" s="492"/>
      <c r="AR114" s="492"/>
      <c r="AS114" s="161"/>
      <c r="AU114" s="479" t="str">
        <f>IF(Roster!$O$20=0,"",Roster!$O$20)</f>
        <v/>
      </c>
      <c r="AV114" s="192"/>
      <c r="AW114" s="492" t="str">
        <f>IF(Roster!$P$20=0,"",Roster!$P$20)</f>
        <v/>
      </c>
      <c r="AX114" s="492"/>
      <c r="AY114" s="492"/>
      <c r="AZ114" s="492"/>
      <c r="BA114" s="492"/>
      <c r="BB114" s="492"/>
      <c r="BC114" s="492"/>
      <c r="BD114" s="492"/>
      <c r="BE114" s="492"/>
      <c r="BF114" s="492"/>
      <c r="BG114" s="492"/>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92"/>
      <c r="T115" s="492"/>
      <c r="U115" s="492"/>
      <c r="V115" s="492"/>
      <c r="W115" s="492"/>
      <c r="X115" s="492"/>
      <c r="Y115" s="492"/>
      <c r="Z115" s="492"/>
      <c r="AA115" s="492"/>
      <c r="AB115" s="492"/>
      <c r="AC115" s="492"/>
      <c r="AD115" s="161"/>
      <c r="AF115" s="290"/>
      <c r="AG115" s="193"/>
      <c r="AH115" s="492"/>
      <c r="AI115" s="492"/>
      <c r="AJ115" s="492"/>
      <c r="AK115" s="492"/>
      <c r="AL115" s="492"/>
      <c r="AM115" s="492"/>
      <c r="AN115" s="492"/>
      <c r="AO115" s="492"/>
      <c r="AP115" s="492"/>
      <c r="AQ115" s="492"/>
      <c r="AR115" s="492"/>
      <c r="AS115" s="161"/>
      <c r="AU115" s="290"/>
      <c r="AV115" s="193"/>
      <c r="AW115" s="492"/>
      <c r="AX115" s="492"/>
      <c r="AY115" s="492"/>
      <c r="AZ115" s="492"/>
      <c r="BA115" s="492"/>
      <c r="BB115" s="492"/>
      <c r="BC115" s="492"/>
      <c r="BD115" s="492"/>
      <c r="BE115" s="492"/>
      <c r="BF115" s="492"/>
      <c r="BG115" s="492"/>
      <c r="BH115" s="161"/>
    </row>
    <row r="116" spans="2:60" ht="11.25" customHeight="1" x14ac:dyDescent="0.2">
      <c r="B116" s="290"/>
      <c r="C116" s="151"/>
      <c r="D116" s="476" t="str">
        <f>IF(Roster!$K$25="Italiano","ABILITÀ &amp; TRATTI",(IF(Roster!$K$25="Español","HABILIDADES Y RASGOS","SKILLS &amp; TRAITS")))</f>
        <v>SKILLS &amp; TRAITS</v>
      </c>
      <c r="E116" s="296"/>
      <c r="F116" s="296"/>
      <c r="G116" s="296"/>
      <c r="H116" s="296"/>
      <c r="I116" s="296"/>
      <c r="J116" s="296"/>
      <c r="K116" s="296"/>
      <c r="L116" s="296"/>
      <c r="M116" s="296"/>
      <c r="N116" s="297"/>
      <c r="O116" s="161"/>
      <c r="Q116" s="290"/>
      <c r="R116" s="146"/>
      <c r="S116" s="492"/>
      <c r="T116" s="492"/>
      <c r="U116" s="492"/>
      <c r="V116" s="492"/>
      <c r="W116" s="492"/>
      <c r="X116" s="492"/>
      <c r="Y116" s="492"/>
      <c r="Z116" s="492"/>
      <c r="AA116" s="492"/>
      <c r="AB116" s="492"/>
      <c r="AC116" s="492"/>
      <c r="AD116" s="161"/>
      <c r="AF116" s="290"/>
      <c r="AG116" s="194"/>
      <c r="AH116" s="492"/>
      <c r="AI116" s="492"/>
      <c r="AJ116" s="492"/>
      <c r="AK116" s="492"/>
      <c r="AL116" s="492"/>
      <c r="AM116" s="492"/>
      <c r="AN116" s="492"/>
      <c r="AO116" s="492"/>
      <c r="AP116" s="492"/>
      <c r="AQ116" s="492"/>
      <c r="AR116" s="492"/>
      <c r="AS116" s="161"/>
      <c r="AU116" s="290"/>
      <c r="AV116" s="194"/>
      <c r="AW116" s="492"/>
      <c r="AX116" s="492"/>
      <c r="AY116" s="492"/>
      <c r="AZ116" s="492"/>
      <c r="BA116" s="492"/>
      <c r="BB116" s="492"/>
      <c r="BC116" s="492"/>
      <c r="BD116" s="492"/>
      <c r="BE116" s="492"/>
      <c r="BF116" s="492"/>
      <c r="BG116" s="492"/>
      <c r="BH116" s="161"/>
    </row>
    <row r="117" spans="2:60" ht="6.75" customHeight="1" x14ac:dyDescent="0.2">
      <c r="B117" s="450"/>
      <c r="C117" s="151"/>
      <c r="D117" s="480" t="str">
        <f>IF(Roster!$P$17=0&amp;BF17,"",Roster!$P$17)</f>
        <v/>
      </c>
      <c r="E117" s="481"/>
      <c r="F117" s="481"/>
      <c r="G117" s="481"/>
      <c r="H117" s="481"/>
      <c r="I117" s="481"/>
      <c r="J117" s="481"/>
      <c r="K117" s="481"/>
      <c r="L117" s="481"/>
      <c r="M117" s="481"/>
      <c r="N117" s="482"/>
      <c r="O117" s="161"/>
      <c r="Q117" s="450"/>
      <c r="R117" s="166"/>
      <c r="S117" s="492"/>
      <c r="T117" s="492"/>
      <c r="U117" s="492"/>
      <c r="V117" s="492"/>
      <c r="W117" s="492"/>
      <c r="X117" s="492"/>
      <c r="Y117" s="492"/>
      <c r="Z117" s="492"/>
      <c r="AA117" s="492"/>
      <c r="AB117" s="492"/>
      <c r="AC117" s="492"/>
      <c r="AD117" s="161"/>
      <c r="AF117" s="450"/>
      <c r="AG117" s="166"/>
      <c r="AH117" s="492"/>
      <c r="AI117" s="492"/>
      <c r="AJ117" s="492"/>
      <c r="AK117" s="492"/>
      <c r="AL117" s="492"/>
      <c r="AM117" s="492"/>
      <c r="AN117" s="492"/>
      <c r="AO117" s="492"/>
      <c r="AP117" s="492"/>
      <c r="AQ117" s="492"/>
      <c r="AR117" s="492"/>
      <c r="AS117" s="161"/>
      <c r="AU117" s="450"/>
      <c r="AV117" s="166"/>
      <c r="AW117" s="492"/>
      <c r="AX117" s="492"/>
      <c r="AY117" s="492"/>
      <c r="AZ117" s="492"/>
      <c r="BA117" s="492"/>
      <c r="BB117" s="492"/>
      <c r="BC117" s="492"/>
      <c r="BD117" s="492"/>
      <c r="BE117" s="492"/>
      <c r="BF117" s="492"/>
      <c r="BG117" s="492"/>
      <c r="BH117" s="161"/>
    </row>
    <row r="118" spans="2:60" ht="11.25" customHeight="1" x14ac:dyDescent="0.2">
      <c r="B118" s="150" t="str">
        <f>IF(Roster!$AO$1=0,"",Roster!$AO$1)</f>
        <v>COST</v>
      </c>
      <c r="C118" s="150"/>
      <c r="D118" s="483"/>
      <c r="E118" s="484"/>
      <c r="F118" s="484"/>
      <c r="G118" s="484"/>
      <c r="H118" s="484"/>
      <c r="I118" s="484"/>
      <c r="J118" s="484"/>
      <c r="K118" s="484"/>
      <c r="L118" s="484"/>
      <c r="M118" s="484"/>
      <c r="N118" s="485"/>
      <c r="O118" s="162"/>
      <c r="Q118" s="150" t="str">
        <f>IF(Roster!$AO$1=0,"",Roster!$AO$1)</f>
        <v>COST</v>
      </c>
      <c r="R118" s="166"/>
      <c r="S118" s="492"/>
      <c r="T118" s="492"/>
      <c r="U118" s="492"/>
      <c r="V118" s="492"/>
      <c r="W118" s="492"/>
      <c r="X118" s="492"/>
      <c r="Y118" s="492"/>
      <c r="Z118" s="492"/>
      <c r="AA118" s="492"/>
      <c r="AB118" s="492"/>
      <c r="AC118" s="492"/>
      <c r="AD118" s="162"/>
      <c r="AF118" s="150" t="str">
        <f>IF(Roster!$AO$1=0,"",Roster!$AO$1)</f>
        <v>COST</v>
      </c>
      <c r="AG118" s="166"/>
      <c r="AH118" s="492"/>
      <c r="AI118" s="492"/>
      <c r="AJ118" s="492"/>
      <c r="AK118" s="492"/>
      <c r="AL118" s="492"/>
      <c r="AM118" s="492"/>
      <c r="AN118" s="492"/>
      <c r="AO118" s="492"/>
      <c r="AP118" s="492"/>
      <c r="AQ118" s="492"/>
      <c r="AR118" s="492"/>
      <c r="AS118" s="162"/>
      <c r="AU118" s="150" t="str">
        <f>IF(Roster!$AO$1=0,"",Roster!$AO$1)</f>
        <v>COST</v>
      </c>
      <c r="AV118" s="166"/>
      <c r="AW118" s="492"/>
      <c r="AX118" s="492"/>
      <c r="AY118" s="492"/>
      <c r="AZ118" s="492"/>
      <c r="BA118" s="492"/>
      <c r="BB118" s="492"/>
      <c r="BC118" s="492"/>
      <c r="BD118" s="492"/>
      <c r="BE118" s="492"/>
      <c r="BF118" s="492"/>
      <c r="BG118" s="492"/>
      <c r="BH118" s="162"/>
    </row>
    <row r="119" spans="2:60" ht="34.5" customHeight="1" x14ac:dyDescent="0.2">
      <c r="B119" s="164" t="str">
        <f>IF(Roster!$AO$17=0,"",Roster!$AO$17)</f>
        <v/>
      </c>
      <c r="C119" s="165"/>
      <c r="D119" s="486"/>
      <c r="E119" s="487"/>
      <c r="F119" s="487"/>
      <c r="G119" s="487"/>
      <c r="H119" s="487"/>
      <c r="I119" s="487"/>
      <c r="J119" s="487"/>
      <c r="K119" s="487"/>
      <c r="L119" s="487"/>
      <c r="M119" s="487"/>
      <c r="N119" s="488"/>
      <c r="O119" s="162"/>
      <c r="Q119" s="164" t="str">
        <f>IF(Roster!$AO$18=0,"",Roster!$AO$18)</f>
        <v/>
      </c>
      <c r="R119" s="166"/>
      <c r="S119" s="492"/>
      <c r="T119" s="492"/>
      <c r="U119" s="492"/>
      <c r="V119" s="492"/>
      <c r="W119" s="492"/>
      <c r="X119" s="492"/>
      <c r="Y119" s="492"/>
      <c r="Z119" s="492"/>
      <c r="AA119" s="492"/>
      <c r="AB119" s="492"/>
      <c r="AC119" s="492"/>
      <c r="AD119" s="162"/>
      <c r="AF119" s="164" t="str">
        <f>IF(Roster!$AO$19=0,"",Roster!$AO$19)</f>
        <v/>
      </c>
      <c r="AG119" s="166"/>
      <c r="AH119" s="492"/>
      <c r="AI119" s="492"/>
      <c r="AJ119" s="492"/>
      <c r="AK119" s="492"/>
      <c r="AL119" s="492"/>
      <c r="AM119" s="492"/>
      <c r="AN119" s="492"/>
      <c r="AO119" s="492"/>
      <c r="AP119" s="492"/>
      <c r="AQ119" s="492"/>
      <c r="AR119" s="492"/>
      <c r="AS119" s="162"/>
      <c r="AU119" s="164" t="str">
        <f>IF(Roster!$AO$20=0,"",Roster!$AO$20)</f>
        <v/>
      </c>
      <c r="AV119" s="166"/>
      <c r="AW119" s="492"/>
      <c r="AX119" s="492"/>
      <c r="AY119" s="492"/>
      <c r="AZ119" s="492"/>
      <c r="BA119" s="492"/>
      <c r="BB119" s="492"/>
      <c r="BC119" s="492"/>
      <c r="BD119" s="492"/>
      <c r="BE119" s="492"/>
      <c r="BF119" s="492"/>
      <c r="BG119" s="492"/>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1"/>
      <c r="C2" s="167"/>
      <c r="D2" s="167"/>
      <c r="E2" s="167"/>
      <c r="F2" s="167"/>
      <c r="G2" s="167"/>
      <c r="H2" s="167"/>
      <c r="I2" s="167"/>
      <c r="J2" s="167"/>
      <c r="K2" s="167"/>
      <c r="L2" s="167"/>
      <c r="M2" s="167"/>
      <c r="N2" s="167"/>
      <c r="O2" s="168"/>
      <c r="Q2" s="521" t="str">
        <f>IF(Roster!$A$2=0,"","#"&amp;Roster!$A$2)</f>
        <v>#1</v>
      </c>
      <c r="R2" s="167"/>
      <c r="S2" s="167"/>
      <c r="T2" s="167"/>
      <c r="U2" s="167"/>
      <c r="V2" s="167"/>
      <c r="W2" s="167"/>
      <c r="X2" s="167"/>
      <c r="Y2" s="167"/>
      <c r="Z2" s="167"/>
      <c r="AA2" s="167"/>
      <c r="AB2" s="167"/>
      <c r="AC2" s="167"/>
      <c r="AD2" s="168"/>
      <c r="AF2" s="521" t="str">
        <f>IF(Roster!$A$3=0,"","#"&amp;Roster!$A$3)</f>
        <v>#2</v>
      </c>
      <c r="AG2" s="167"/>
      <c r="AH2" s="167"/>
      <c r="AI2" s="167"/>
      <c r="AJ2" s="167"/>
      <c r="AK2" s="167"/>
      <c r="AL2" s="167"/>
      <c r="AM2" s="167"/>
      <c r="AN2" s="167"/>
      <c r="AO2" s="167"/>
      <c r="AP2" s="167"/>
      <c r="AQ2" s="167"/>
      <c r="AR2" s="167"/>
      <c r="AS2" s="168"/>
      <c r="AU2" s="521" t="str">
        <f>IF(Roster!$A$4=0,"","#"&amp;Roster!$A$4)</f>
        <v>#3</v>
      </c>
      <c r="AV2" s="167"/>
      <c r="AW2" s="167"/>
      <c r="AX2" s="167"/>
      <c r="AY2" s="167"/>
      <c r="AZ2" s="167"/>
      <c r="BA2" s="167"/>
      <c r="BB2" s="167"/>
      <c r="BC2" s="167"/>
      <c r="BD2" s="167"/>
      <c r="BE2" s="167"/>
      <c r="BF2" s="167"/>
      <c r="BG2" s="167"/>
      <c r="BH2" s="168"/>
    </row>
    <row r="3" spans="2:60" ht="15" customHeight="1" x14ac:dyDescent="0.25">
      <c r="B3" s="522"/>
      <c r="C3" s="507" t="str">
        <f>IF(Roster!$K$24=0,Roster!$D$24,Roster!$K$24)</f>
        <v>Freud</v>
      </c>
      <c r="D3" s="296"/>
      <c r="E3" s="296"/>
      <c r="F3" s="296"/>
      <c r="G3" s="296"/>
      <c r="H3" s="296"/>
      <c r="I3" s="296"/>
      <c r="J3" s="296"/>
      <c r="K3" s="296"/>
      <c r="L3" s="296"/>
      <c r="M3" s="296"/>
      <c r="N3" s="297"/>
      <c r="O3" s="169"/>
      <c r="Q3" s="522"/>
      <c r="R3" s="507" t="str">
        <f>IF(Roster!$B$2=0,"",Roster!$B$2)</f>
        <v>Nesquig</v>
      </c>
      <c r="S3" s="296"/>
      <c r="T3" s="296"/>
      <c r="U3" s="296"/>
      <c r="V3" s="296"/>
      <c r="W3" s="296"/>
      <c r="X3" s="296"/>
      <c r="Y3" s="296"/>
      <c r="Z3" s="296"/>
      <c r="AA3" s="296"/>
      <c r="AB3" s="296"/>
      <c r="AC3" s="297"/>
      <c r="AD3" s="169"/>
      <c r="AF3" s="522"/>
      <c r="AG3" s="507" t="str">
        <f>IF(Roster!$B$3=0,"",Roster!$B$3)</f>
        <v>Orc Popz</v>
      </c>
      <c r="AH3" s="296"/>
      <c r="AI3" s="296"/>
      <c r="AJ3" s="296"/>
      <c r="AK3" s="296"/>
      <c r="AL3" s="296"/>
      <c r="AM3" s="296"/>
      <c r="AN3" s="296"/>
      <c r="AO3" s="296"/>
      <c r="AP3" s="296"/>
      <c r="AQ3" s="296"/>
      <c r="AR3" s="297"/>
      <c r="AS3" s="169"/>
      <c r="AU3" s="522"/>
      <c r="AV3" s="507" t="str">
        <f>IF(Roster!$B$4=0,"",Roster!$B$4)</f>
        <v>Kellorc's</v>
      </c>
      <c r="AW3" s="296"/>
      <c r="AX3" s="296"/>
      <c r="AY3" s="296"/>
      <c r="AZ3" s="296"/>
      <c r="BA3" s="296"/>
      <c r="BB3" s="296"/>
      <c r="BC3" s="296"/>
      <c r="BD3" s="296"/>
      <c r="BE3" s="296"/>
      <c r="BF3" s="296"/>
      <c r="BG3" s="297"/>
      <c r="BH3" s="169"/>
    </row>
    <row r="4" spans="2:60" ht="11.25" customHeight="1" x14ac:dyDescent="0.2">
      <c r="B4" s="522"/>
      <c r="C4" s="524" t="str">
        <f>IF(Roster!$K$21="SPONSORS",Roster!$K$23,Roster!$K$23&amp;"; Sponsor: "&amp;Roster!$K$21)</f>
        <v>Black Orc</v>
      </c>
      <c r="D4" s="296"/>
      <c r="E4" s="296"/>
      <c r="F4" s="296"/>
      <c r="G4" s="296"/>
      <c r="H4" s="296"/>
      <c r="I4" s="296"/>
      <c r="J4" s="296"/>
      <c r="K4" s="296"/>
      <c r="L4" s="296"/>
      <c r="M4" s="296"/>
      <c r="N4" s="297"/>
      <c r="O4" s="170"/>
      <c r="Q4" s="523"/>
      <c r="R4" s="524" t="str">
        <f>IF(Roster!$D$2=0,"",Roster!$D$2)</f>
        <v>Trained Troll</v>
      </c>
      <c r="S4" s="296"/>
      <c r="T4" s="296"/>
      <c r="U4" s="296"/>
      <c r="V4" s="296"/>
      <c r="W4" s="296"/>
      <c r="X4" s="296"/>
      <c r="Y4" s="296"/>
      <c r="Z4" s="296"/>
      <c r="AA4" s="296"/>
      <c r="AB4" s="296"/>
      <c r="AC4" s="297"/>
      <c r="AD4" s="170"/>
      <c r="AF4" s="523"/>
      <c r="AG4" s="524" t="str">
        <f>IF(Roster!$D$3=0,"",Roster!$D$3)</f>
        <v>Black Orc</v>
      </c>
      <c r="AH4" s="296"/>
      <c r="AI4" s="296"/>
      <c r="AJ4" s="296"/>
      <c r="AK4" s="296"/>
      <c r="AL4" s="296"/>
      <c r="AM4" s="296"/>
      <c r="AN4" s="296"/>
      <c r="AO4" s="296"/>
      <c r="AP4" s="296"/>
      <c r="AQ4" s="296"/>
      <c r="AR4" s="297"/>
      <c r="AS4" s="170"/>
      <c r="AU4" s="523"/>
      <c r="AV4" s="524" t="str">
        <f>IF(Roster!$D$4=0,"",Roster!$D$4)</f>
        <v>Black Orc</v>
      </c>
      <c r="AW4" s="296"/>
      <c r="AX4" s="296"/>
      <c r="AY4" s="296"/>
      <c r="AZ4" s="296"/>
      <c r="BA4" s="296"/>
      <c r="BB4" s="296"/>
      <c r="BC4" s="296"/>
      <c r="BD4" s="296"/>
      <c r="BE4" s="296"/>
      <c r="BF4" s="296"/>
      <c r="BG4" s="297"/>
      <c r="BH4" s="170"/>
    </row>
    <row r="5" spans="2:60" ht="11.25" customHeight="1" x14ac:dyDescent="0.2">
      <c r="B5" s="523"/>
      <c r="C5" s="171"/>
      <c r="D5" s="524" t="str">
        <f>IF(Roster!$D$32=0,"",Roster!$D$32)</f>
        <v>TEAM VALUE</v>
      </c>
      <c r="E5" s="296"/>
      <c r="F5" s="297"/>
      <c r="G5" s="172"/>
      <c r="H5" s="524" t="str">
        <f>IF(Roster!$D$26=0,"",Roster!$D$26)</f>
        <v>TEAM NAME</v>
      </c>
      <c r="I5" s="296"/>
      <c r="J5" s="297"/>
      <c r="K5" s="172"/>
      <c r="L5" s="524" t="str">
        <f>IF(Roster!$AE$21=0,"",Roster!$AE$21)</f>
        <v>TOTAL REROLLS</v>
      </c>
      <c r="M5" s="296"/>
      <c r="N5" s="297"/>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59" t="str">
        <f>IF(Roster!$K$22=0,"",Roster!$K$22)</f>
        <v>STADIUM</v>
      </c>
      <c r="C6" s="175"/>
      <c r="D6" s="560">
        <f>Roster!$K$32</f>
        <v>1240</v>
      </c>
      <c r="E6" s="293"/>
      <c r="F6" s="294"/>
      <c r="G6" s="172"/>
      <c r="H6" s="560" t="str">
        <f>IF(Roster!$K$26=0,"",Roster!$K$26)</f>
        <v>Zhereali</v>
      </c>
      <c r="I6" s="293"/>
      <c r="J6" s="294"/>
      <c r="K6" s="172"/>
      <c r="L6" s="560">
        <f>Roster!$AJ$22</f>
        <v>2</v>
      </c>
      <c r="M6" s="293"/>
      <c r="N6" s="294"/>
      <c r="O6" s="169"/>
      <c r="Q6" s="176">
        <f>IF(Roster!$K$2=0,"",Roster!$K$2)</f>
        <v>4</v>
      </c>
      <c r="R6" s="174"/>
      <c r="S6" s="564"/>
      <c r="T6" s="565"/>
      <c r="U6" s="565"/>
      <c r="V6" s="565"/>
      <c r="W6" s="565"/>
      <c r="X6" s="565"/>
      <c r="Y6" s="565"/>
      <c r="Z6" s="565"/>
      <c r="AA6" s="565"/>
      <c r="AB6" s="565"/>
      <c r="AC6" s="566"/>
      <c r="AD6" s="169"/>
      <c r="AF6" s="176">
        <f>IF(Roster!$K$3=0,"",Roster!$K$3)</f>
        <v>4</v>
      </c>
      <c r="AG6" s="174"/>
      <c r="AH6" s="525"/>
      <c r="AI6" s="526"/>
      <c r="AJ6" s="526"/>
      <c r="AK6" s="526"/>
      <c r="AL6" s="526"/>
      <c r="AM6" s="526"/>
      <c r="AN6" s="526"/>
      <c r="AO6" s="526"/>
      <c r="AP6" s="526"/>
      <c r="AQ6" s="526"/>
      <c r="AR6" s="527"/>
      <c r="AS6" s="169"/>
      <c r="AU6" s="176">
        <f>IF(Roster!$K$4=0,"",Roster!$K$4)</f>
        <v>4</v>
      </c>
      <c r="AV6" s="174"/>
      <c r="AW6" s="525"/>
      <c r="AX6" s="526"/>
      <c r="AY6" s="526"/>
      <c r="AZ6" s="526"/>
      <c r="BA6" s="526"/>
      <c r="BB6" s="526"/>
      <c r="BC6" s="526"/>
      <c r="BD6" s="526"/>
      <c r="BE6" s="526"/>
      <c r="BF6" s="526"/>
      <c r="BG6" s="527"/>
      <c r="BH6" s="169"/>
    </row>
    <row r="7" spans="2:60" ht="11.25" customHeight="1" x14ac:dyDescent="0.2">
      <c r="B7" s="522"/>
      <c r="C7" s="174"/>
      <c r="D7" s="524" t="str">
        <f>IF(Roster!$S$22=0,"",Roster!$S$22)</f>
        <v>APOTHECARY</v>
      </c>
      <c r="E7" s="296"/>
      <c r="F7" s="297"/>
      <c r="G7" s="172"/>
      <c r="H7" s="524" t="str">
        <f>IF(Roster!$S$23=0,"",Roster!$S$23)</f>
        <v>CHEERLEADERS</v>
      </c>
      <c r="I7" s="296"/>
      <c r="J7" s="297"/>
      <c r="K7" s="172"/>
      <c r="L7" s="524" t="str">
        <f>IF(Roster!$S$24=0,"",Roster!$S$24)</f>
        <v>ASSISTANT COACHES</v>
      </c>
      <c r="M7" s="296"/>
      <c r="N7" s="297"/>
      <c r="O7" s="169"/>
      <c r="Q7" s="173" t="str">
        <f>IF(Roster!$L$1=0,"",Roster!$L$1)</f>
        <v>ST</v>
      </c>
      <c r="R7" s="174"/>
      <c r="S7" s="567"/>
      <c r="T7" s="568"/>
      <c r="U7" s="568"/>
      <c r="V7" s="568"/>
      <c r="W7" s="568"/>
      <c r="X7" s="568"/>
      <c r="Y7" s="568"/>
      <c r="Z7" s="568"/>
      <c r="AA7" s="568"/>
      <c r="AB7" s="568"/>
      <c r="AC7" s="569"/>
      <c r="AD7" s="169"/>
      <c r="AF7" s="173" t="str">
        <f>IF(Roster!$L$1=0,"",Roster!$L$1)</f>
        <v>ST</v>
      </c>
      <c r="AG7" s="174"/>
      <c r="AH7" s="528"/>
      <c r="AI7" s="529"/>
      <c r="AJ7" s="529"/>
      <c r="AK7" s="529"/>
      <c r="AL7" s="529"/>
      <c r="AM7" s="529"/>
      <c r="AN7" s="529"/>
      <c r="AO7" s="529"/>
      <c r="AP7" s="529"/>
      <c r="AQ7" s="529"/>
      <c r="AR7" s="530"/>
      <c r="AS7" s="169"/>
      <c r="AU7" s="173" t="str">
        <f>IF(Roster!$L$1=0,"",Roster!$L$1)</f>
        <v>ST</v>
      </c>
      <c r="AV7" s="174"/>
      <c r="AW7" s="528"/>
      <c r="AX7" s="529"/>
      <c r="AY7" s="529"/>
      <c r="AZ7" s="529"/>
      <c r="BA7" s="529"/>
      <c r="BB7" s="529"/>
      <c r="BC7" s="529"/>
      <c r="BD7" s="529"/>
      <c r="BE7" s="529"/>
      <c r="BF7" s="529"/>
      <c r="BG7" s="530"/>
      <c r="BH7" s="169"/>
    </row>
    <row r="8" spans="2:60" ht="37.5" customHeight="1" x14ac:dyDescent="0.2">
      <c r="B8" s="522"/>
      <c r="C8" s="177"/>
      <c r="D8" s="560">
        <f>Roster!$X$22</f>
        <v>1</v>
      </c>
      <c r="E8" s="293"/>
      <c r="F8" s="294"/>
      <c r="G8" s="172"/>
      <c r="H8" s="560">
        <f>Roster!$X$23</f>
        <v>0</v>
      </c>
      <c r="I8" s="293"/>
      <c r="J8" s="294"/>
      <c r="K8" s="172"/>
      <c r="L8" s="560">
        <f>Roster!$X$24</f>
        <v>0</v>
      </c>
      <c r="M8" s="293"/>
      <c r="N8" s="294"/>
      <c r="O8" s="169"/>
      <c r="Q8" s="176">
        <f>IF(Roster!$L$2=0,"",Roster!$L$2)</f>
        <v>5</v>
      </c>
      <c r="R8" s="174"/>
      <c r="S8" s="567"/>
      <c r="T8" s="568"/>
      <c r="U8" s="568"/>
      <c r="V8" s="568"/>
      <c r="W8" s="568"/>
      <c r="X8" s="568"/>
      <c r="Y8" s="568"/>
      <c r="Z8" s="568"/>
      <c r="AA8" s="568"/>
      <c r="AB8" s="568"/>
      <c r="AC8" s="569"/>
      <c r="AD8" s="169"/>
      <c r="AF8" s="176">
        <f>IF(Roster!$L$3=0,"",Roster!$L$3)</f>
        <v>4</v>
      </c>
      <c r="AG8" s="174"/>
      <c r="AH8" s="528"/>
      <c r="AI8" s="529"/>
      <c r="AJ8" s="529"/>
      <c r="AK8" s="529"/>
      <c r="AL8" s="529"/>
      <c r="AM8" s="529"/>
      <c r="AN8" s="529"/>
      <c r="AO8" s="529"/>
      <c r="AP8" s="529"/>
      <c r="AQ8" s="529"/>
      <c r="AR8" s="530"/>
      <c r="AS8" s="169"/>
      <c r="AU8" s="176">
        <f>IF(Roster!$L$4=0,"",Roster!$L$4)</f>
        <v>4</v>
      </c>
      <c r="AV8" s="174"/>
      <c r="AW8" s="528"/>
      <c r="AX8" s="529"/>
      <c r="AY8" s="529"/>
      <c r="AZ8" s="529"/>
      <c r="BA8" s="529"/>
      <c r="BB8" s="529"/>
      <c r="BC8" s="529"/>
      <c r="BD8" s="529"/>
      <c r="BE8" s="529"/>
      <c r="BF8" s="529"/>
      <c r="BG8" s="530"/>
      <c r="BH8" s="169"/>
    </row>
    <row r="9" spans="2:60" ht="11.25" customHeight="1" x14ac:dyDescent="0.2">
      <c r="B9" s="522"/>
      <c r="C9" s="171"/>
      <c r="D9" s="524" t="str">
        <f>IF(Roster!$S$25=0,"",Roster!$S$25)</f>
        <v>BLOODWEISER KEGS</v>
      </c>
      <c r="E9" s="296"/>
      <c r="F9" s="297"/>
      <c r="G9" s="172"/>
      <c r="H9" s="524" t="str">
        <f>IF(Roster!$S$29=0,"",Roster!$S$29)</f>
        <v>BRIBES</v>
      </c>
      <c r="I9" s="296"/>
      <c r="J9" s="297"/>
      <c r="K9" s="172"/>
      <c r="L9" s="524" t="str">
        <f>IF(Roster!$S$30=0,"",Roster!$S$30)</f>
        <v>MASTER CHEF</v>
      </c>
      <c r="M9" s="296"/>
      <c r="N9" s="297"/>
      <c r="O9" s="169"/>
      <c r="Q9" s="173" t="str">
        <f>IF(Roster!$M$1=0,"",Roster!$M$1)</f>
        <v>AG</v>
      </c>
      <c r="R9" s="174"/>
      <c r="S9" s="567"/>
      <c r="T9" s="568"/>
      <c r="U9" s="568"/>
      <c r="V9" s="568"/>
      <c r="W9" s="568"/>
      <c r="X9" s="568"/>
      <c r="Y9" s="568"/>
      <c r="Z9" s="568"/>
      <c r="AA9" s="568"/>
      <c r="AB9" s="568"/>
      <c r="AC9" s="569"/>
      <c r="AD9" s="169"/>
      <c r="AF9" s="173" t="str">
        <f>IF(Roster!$M$1=0,"",Roster!$M$1)</f>
        <v>AG</v>
      </c>
      <c r="AG9" s="174"/>
      <c r="AH9" s="528"/>
      <c r="AI9" s="529"/>
      <c r="AJ9" s="529"/>
      <c r="AK9" s="529"/>
      <c r="AL9" s="529"/>
      <c r="AM9" s="529"/>
      <c r="AN9" s="529"/>
      <c r="AO9" s="529"/>
      <c r="AP9" s="529"/>
      <c r="AQ9" s="529"/>
      <c r="AR9" s="530"/>
      <c r="AS9" s="169"/>
      <c r="AU9" s="173" t="str">
        <f>IF(Roster!$M$1=0,"",Roster!$M$1)</f>
        <v>AG</v>
      </c>
      <c r="AV9" s="174"/>
      <c r="AW9" s="528"/>
      <c r="AX9" s="529"/>
      <c r="AY9" s="529"/>
      <c r="AZ9" s="529"/>
      <c r="BA9" s="529"/>
      <c r="BB9" s="529"/>
      <c r="BC9" s="529"/>
      <c r="BD9" s="529"/>
      <c r="BE9" s="529"/>
      <c r="BF9" s="529"/>
      <c r="BG9" s="530"/>
      <c r="BH9" s="169"/>
    </row>
    <row r="10" spans="2:60" ht="37.5" customHeight="1" x14ac:dyDescent="0.2">
      <c r="B10" s="522"/>
      <c r="C10" s="177"/>
      <c r="D10" s="560">
        <f>Roster!$X$25</f>
        <v>0</v>
      </c>
      <c r="E10" s="293"/>
      <c r="F10" s="294"/>
      <c r="G10" s="172"/>
      <c r="H10" s="560">
        <f>Roster!$X$29</f>
        <v>0</v>
      </c>
      <c r="I10" s="293"/>
      <c r="J10" s="294"/>
      <c r="K10" s="172"/>
      <c r="L10" s="560">
        <f>Roster!$X$30</f>
        <v>0</v>
      </c>
      <c r="M10" s="293"/>
      <c r="N10" s="294"/>
      <c r="O10" s="169"/>
      <c r="Q10" s="176" t="str">
        <f>IF(Roster!$M$2=0&amp;"+","",Roster!$M$2)</f>
        <v>5+</v>
      </c>
      <c r="R10" s="174"/>
      <c r="S10" s="567"/>
      <c r="T10" s="568"/>
      <c r="U10" s="568"/>
      <c r="V10" s="568"/>
      <c r="W10" s="568"/>
      <c r="X10" s="568"/>
      <c r="Y10" s="568"/>
      <c r="Z10" s="568"/>
      <c r="AA10" s="568"/>
      <c r="AB10" s="568"/>
      <c r="AC10" s="569"/>
      <c r="AD10" s="169"/>
      <c r="AF10" s="176" t="str">
        <f>IF(Roster!$M$3=0&amp;"+","",Roster!$M$3)</f>
        <v>4+</v>
      </c>
      <c r="AG10" s="174"/>
      <c r="AH10" s="528"/>
      <c r="AI10" s="529"/>
      <c r="AJ10" s="529"/>
      <c r="AK10" s="529"/>
      <c r="AL10" s="529"/>
      <c r="AM10" s="529"/>
      <c r="AN10" s="529"/>
      <c r="AO10" s="529"/>
      <c r="AP10" s="529"/>
      <c r="AQ10" s="529"/>
      <c r="AR10" s="530"/>
      <c r="AS10" s="169"/>
      <c r="AU10" s="176" t="str">
        <f>IF(Roster!$M$4=0&amp;"+","",Roster!$M$4)</f>
        <v>5+</v>
      </c>
      <c r="AV10" s="174"/>
      <c r="AW10" s="528"/>
      <c r="AX10" s="529"/>
      <c r="AY10" s="529"/>
      <c r="AZ10" s="529"/>
      <c r="BA10" s="529"/>
      <c r="BB10" s="529"/>
      <c r="BC10" s="529"/>
      <c r="BD10" s="529"/>
      <c r="BE10" s="529"/>
      <c r="BF10" s="529"/>
      <c r="BG10" s="530"/>
      <c r="BH10" s="169"/>
    </row>
    <row r="11" spans="2:60" ht="11.25" customHeight="1" x14ac:dyDescent="0.2">
      <c r="B11" s="522"/>
      <c r="C11" s="174"/>
      <c r="D11" s="557" t="str">
        <f>IF(Roster!$S$31=0,"",Roster!$S$31)</f>
        <v>RIOTOUS ROOKIES</v>
      </c>
      <c r="E11" s="296"/>
      <c r="F11" s="297"/>
      <c r="G11" s="174"/>
      <c r="H11" s="557" t="str">
        <f>IF(Roster!$AE$25=0,"",Roster!$AE$25)</f>
        <v>WIZARDS</v>
      </c>
      <c r="I11" s="296"/>
      <c r="J11" s="297"/>
      <c r="K11" s="174"/>
      <c r="L11" s="524" t="str">
        <f>IF(Roster!$AE$24=0,"",Roster!$AE$24)</f>
        <v>WEATHER MAGE</v>
      </c>
      <c r="M11" s="296"/>
      <c r="N11" s="297"/>
      <c r="O11" s="178"/>
      <c r="Q11" s="173" t="str">
        <f>IF(Roster!$N$1=0,"",Roster!$N$1)</f>
        <v>PA</v>
      </c>
      <c r="R11" s="174"/>
      <c r="S11" s="567"/>
      <c r="T11" s="568"/>
      <c r="U11" s="568"/>
      <c r="V11" s="568"/>
      <c r="W11" s="568"/>
      <c r="X11" s="568"/>
      <c r="Y11" s="568"/>
      <c r="Z11" s="568"/>
      <c r="AA11" s="568"/>
      <c r="AB11" s="568"/>
      <c r="AC11" s="569"/>
      <c r="AD11" s="178"/>
      <c r="AF11" s="173" t="str">
        <f>IF(Roster!$N$1=0,"",Roster!$N$1)</f>
        <v>PA</v>
      </c>
      <c r="AG11" s="174"/>
      <c r="AH11" s="528"/>
      <c r="AI11" s="529"/>
      <c r="AJ11" s="529"/>
      <c r="AK11" s="529"/>
      <c r="AL11" s="529"/>
      <c r="AM11" s="529"/>
      <c r="AN11" s="529"/>
      <c r="AO11" s="529"/>
      <c r="AP11" s="529"/>
      <c r="AQ11" s="529"/>
      <c r="AR11" s="530"/>
      <c r="AS11" s="178"/>
      <c r="AU11" s="173" t="str">
        <f>IF(Roster!$N$1=0,"",Roster!$N$1)</f>
        <v>PA</v>
      </c>
      <c r="AV11" s="174"/>
      <c r="AW11" s="528"/>
      <c r="AX11" s="529"/>
      <c r="AY11" s="529"/>
      <c r="AZ11" s="529"/>
      <c r="BA11" s="529"/>
      <c r="BB11" s="529"/>
      <c r="BC11" s="529"/>
      <c r="BD11" s="529"/>
      <c r="BE11" s="529"/>
      <c r="BF11" s="529"/>
      <c r="BG11" s="530"/>
      <c r="BH11" s="178"/>
    </row>
    <row r="12" spans="2:60" ht="6" customHeight="1" x14ac:dyDescent="0.2">
      <c r="B12" s="522"/>
      <c r="C12" s="175"/>
      <c r="D12" s="561">
        <f>Roster!$X$31</f>
        <v>0</v>
      </c>
      <c r="E12" s="367"/>
      <c r="F12" s="336"/>
      <c r="G12" s="179"/>
      <c r="H12" s="561">
        <f>Roster!$AJ$25</f>
        <v>0</v>
      </c>
      <c r="I12" s="367"/>
      <c r="J12" s="336"/>
      <c r="K12" s="179"/>
      <c r="L12" s="561">
        <f>Roster!$AJ$24</f>
        <v>0</v>
      </c>
      <c r="M12" s="367"/>
      <c r="N12" s="336"/>
      <c r="O12" s="180"/>
      <c r="Q12" s="518" t="str">
        <f>IF(Roster!$N$2=0&amp;"+","",Roster!$N$2)</f>
        <v>5+</v>
      </c>
      <c r="R12" s="174"/>
      <c r="S12" s="570"/>
      <c r="T12" s="571"/>
      <c r="U12" s="571"/>
      <c r="V12" s="571"/>
      <c r="W12" s="571"/>
      <c r="X12" s="571"/>
      <c r="Y12" s="571"/>
      <c r="Z12" s="571"/>
      <c r="AA12" s="571"/>
      <c r="AB12" s="571"/>
      <c r="AC12" s="572"/>
      <c r="AD12" s="180"/>
      <c r="AF12" s="518" t="str">
        <f>IF(Roster!$N$3=0&amp;"+","",Roster!$N$3)</f>
        <v>5+</v>
      </c>
      <c r="AG12" s="174"/>
      <c r="AH12" s="531"/>
      <c r="AI12" s="532"/>
      <c r="AJ12" s="532"/>
      <c r="AK12" s="532"/>
      <c r="AL12" s="532"/>
      <c r="AM12" s="532"/>
      <c r="AN12" s="532"/>
      <c r="AO12" s="532"/>
      <c r="AP12" s="532"/>
      <c r="AQ12" s="532"/>
      <c r="AR12" s="533"/>
      <c r="AS12" s="180"/>
      <c r="AU12" s="518" t="str">
        <f>IF(Roster!$N$4=0&amp;"+","",Roster!$N$4)</f>
        <v>5+</v>
      </c>
      <c r="AV12" s="174"/>
      <c r="AW12" s="531"/>
      <c r="AX12" s="532"/>
      <c r="AY12" s="532"/>
      <c r="AZ12" s="532"/>
      <c r="BA12" s="532"/>
      <c r="BB12" s="532"/>
      <c r="BC12" s="532"/>
      <c r="BD12" s="532"/>
      <c r="BE12" s="532"/>
      <c r="BF12" s="532"/>
      <c r="BG12" s="533"/>
      <c r="BH12" s="180"/>
    </row>
    <row r="13" spans="2:60" ht="4.5" customHeight="1" x14ac:dyDescent="0.2">
      <c r="B13" s="522"/>
      <c r="C13" s="175"/>
      <c r="D13" s="562"/>
      <c r="E13" s="353"/>
      <c r="F13" s="563"/>
      <c r="G13" s="179"/>
      <c r="H13" s="562"/>
      <c r="I13" s="353"/>
      <c r="J13" s="563"/>
      <c r="K13" s="179"/>
      <c r="L13" s="562"/>
      <c r="M13" s="353"/>
      <c r="N13" s="563"/>
      <c r="O13" s="180"/>
      <c r="Q13" s="519"/>
      <c r="R13" s="172"/>
      <c r="S13" s="181"/>
      <c r="T13" s="179"/>
      <c r="U13" s="181"/>
      <c r="V13" s="179"/>
      <c r="W13" s="181"/>
      <c r="X13" s="179"/>
      <c r="Y13" s="181"/>
      <c r="Z13" s="179"/>
      <c r="AA13" s="181"/>
      <c r="AB13" s="179"/>
      <c r="AC13" s="181"/>
      <c r="AD13" s="180"/>
      <c r="AF13" s="519"/>
      <c r="AG13" s="172"/>
      <c r="AH13" s="181"/>
      <c r="AI13" s="179"/>
      <c r="AJ13" s="181"/>
      <c r="AK13" s="179"/>
      <c r="AL13" s="181"/>
      <c r="AM13" s="179"/>
      <c r="AN13" s="181"/>
      <c r="AO13" s="179"/>
      <c r="AP13" s="181"/>
      <c r="AQ13" s="179"/>
      <c r="AR13" s="181"/>
      <c r="AS13" s="180"/>
      <c r="AU13" s="519"/>
      <c r="AV13" s="172"/>
      <c r="AW13" s="181"/>
      <c r="AX13" s="179"/>
      <c r="AY13" s="181"/>
      <c r="AZ13" s="179"/>
      <c r="BA13" s="181"/>
      <c r="BB13" s="179"/>
      <c r="BC13" s="181"/>
      <c r="BD13" s="179"/>
      <c r="BE13" s="181"/>
      <c r="BF13" s="179"/>
      <c r="BG13" s="181"/>
      <c r="BH13" s="180"/>
    </row>
    <row r="14" spans="2:60" ht="11.25" customHeight="1" x14ac:dyDescent="0.2">
      <c r="B14" s="522"/>
      <c r="C14" s="175"/>
      <c r="D14" s="562"/>
      <c r="E14" s="353"/>
      <c r="F14" s="563"/>
      <c r="G14" s="179"/>
      <c r="H14" s="562"/>
      <c r="I14" s="353"/>
      <c r="J14" s="563"/>
      <c r="K14" s="179"/>
      <c r="L14" s="562"/>
      <c r="M14" s="353"/>
      <c r="N14" s="563"/>
      <c r="O14" s="180"/>
      <c r="Q14" s="519"/>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19"/>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19"/>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2"/>
      <c r="C15" s="175"/>
      <c r="D15" s="562"/>
      <c r="E15" s="353"/>
      <c r="F15" s="563"/>
      <c r="G15" s="175"/>
      <c r="H15" s="562"/>
      <c r="I15" s="353"/>
      <c r="J15" s="563"/>
      <c r="K15" s="175"/>
      <c r="L15" s="562"/>
      <c r="M15" s="353"/>
      <c r="N15" s="563"/>
      <c r="O15" s="180"/>
      <c r="Q15" s="519"/>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19"/>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19"/>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2"/>
      <c r="C16" s="175"/>
      <c r="D16" s="337"/>
      <c r="E16" s="368"/>
      <c r="F16" s="338"/>
      <c r="G16" s="175"/>
      <c r="H16" s="337"/>
      <c r="I16" s="368"/>
      <c r="J16" s="338"/>
      <c r="K16" s="175"/>
      <c r="L16" s="337"/>
      <c r="M16" s="368"/>
      <c r="N16" s="338"/>
      <c r="O16" s="180"/>
      <c r="Q16" s="403"/>
      <c r="R16" s="175"/>
      <c r="S16" s="208"/>
      <c r="T16" s="207"/>
      <c r="U16" s="208"/>
      <c r="V16" s="207"/>
      <c r="W16" s="208"/>
      <c r="X16" s="207"/>
      <c r="Y16" s="208"/>
      <c r="Z16" s="207"/>
      <c r="AA16" s="208"/>
      <c r="AB16" s="207"/>
      <c r="AC16" s="208"/>
      <c r="AD16" s="180"/>
      <c r="AF16" s="403"/>
      <c r="AG16" s="175"/>
      <c r="AH16" s="208"/>
      <c r="AI16" s="207"/>
      <c r="AJ16" s="208"/>
      <c r="AK16" s="207"/>
      <c r="AL16" s="208"/>
      <c r="AM16" s="207"/>
      <c r="AN16" s="208"/>
      <c r="AO16" s="207"/>
      <c r="AP16" s="208"/>
      <c r="AQ16" s="207"/>
      <c r="AR16" s="208"/>
      <c r="AS16" s="180"/>
      <c r="AU16" s="403"/>
      <c r="AV16" s="175"/>
      <c r="AW16" s="208"/>
      <c r="AX16" s="207"/>
      <c r="AY16" s="208"/>
      <c r="AZ16" s="207"/>
      <c r="BA16" s="208"/>
      <c r="BB16" s="207"/>
      <c r="BC16" s="208"/>
      <c r="BD16" s="207"/>
      <c r="BE16" s="208"/>
      <c r="BF16" s="207"/>
      <c r="BG16" s="208"/>
      <c r="BH16" s="180"/>
    </row>
    <row r="17" spans="2:60" ht="11.25" customHeight="1" x14ac:dyDescent="0.2">
      <c r="B17" s="522"/>
      <c r="C17" s="174"/>
      <c r="D17" s="524" t="str">
        <f>IF(Roster!$S$26=0,"",Roster!$S$26)</f>
        <v>SPECIAL CARD</v>
      </c>
      <c r="E17" s="296"/>
      <c r="F17" s="297"/>
      <c r="G17" s="174"/>
      <c r="H17" s="557" t="str">
        <f>IF(Roster!$AE$26=0,"",Roster!$AE$26)</f>
        <v>(IN)FAMOUS COACHES</v>
      </c>
      <c r="I17" s="296"/>
      <c r="J17" s="297"/>
      <c r="K17" s="174"/>
      <c r="L17" s="557" t="str">
        <f>IF(Roster!$AE$27=0,"",Roster!$AE$27)</f>
        <v>(IN)FAMOUS COACHES</v>
      </c>
      <c r="M17" s="296"/>
      <c r="N17" s="297"/>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2"/>
      <c r="C18" s="175"/>
      <c r="D18" s="561">
        <f>Roster!$X$26</f>
        <v>0</v>
      </c>
      <c r="E18" s="367"/>
      <c r="F18" s="336"/>
      <c r="G18" s="175"/>
      <c r="H18" s="561">
        <f>Roster!$AJ$26</f>
        <v>0</v>
      </c>
      <c r="I18" s="367"/>
      <c r="J18" s="336"/>
      <c r="K18" s="175"/>
      <c r="L18" s="561">
        <f>Roster!$AJ$27</f>
        <v>0</v>
      </c>
      <c r="M18" s="367"/>
      <c r="N18" s="336"/>
      <c r="O18" s="182"/>
      <c r="Q18" s="518"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18"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18" t="str">
        <f>IF(Roster!$O$4=0&amp;"+","",Roster!$O$4)</f>
        <v>10+</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4</v>
      </c>
      <c r="BF18" s="207"/>
      <c r="BG18" s="212" t="str">
        <f>IF(Roster!$AA$4=0,"",Roster!$AA$4)</f>
        <v/>
      </c>
      <c r="BH18" s="182"/>
    </row>
    <row r="19" spans="2:60" ht="4.5" customHeight="1" x14ac:dyDescent="0.2">
      <c r="B19" s="522"/>
      <c r="C19" s="175"/>
      <c r="D19" s="562"/>
      <c r="E19" s="353"/>
      <c r="F19" s="563"/>
      <c r="G19" s="175"/>
      <c r="H19" s="562"/>
      <c r="I19" s="353"/>
      <c r="J19" s="563"/>
      <c r="K19" s="175"/>
      <c r="L19" s="562"/>
      <c r="M19" s="353"/>
      <c r="N19" s="563"/>
      <c r="O19" s="182"/>
      <c r="Q19" s="519"/>
      <c r="R19" s="175"/>
      <c r="S19" s="207"/>
      <c r="T19" s="207"/>
      <c r="U19" s="207"/>
      <c r="V19" s="207"/>
      <c r="W19" s="207"/>
      <c r="X19" s="207"/>
      <c r="Y19" s="207"/>
      <c r="Z19" s="207"/>
      <c r="AA19" s="207"/>
      <c r="AB19" s="207"/>
      <c r="AC19" s="210"/>
      <c r="AD19" s="182"/>
      <c r="AF19" s="519"/>
      <c r="AG19" s="175"/>
      <c r="AH19" s="207"/>
      <c r="AI19" s="207"/>
      <c r="AJ19" s="207"/>
      <c r="AK19" s="207"/>
      <c r="AL19" s="207"/>
      <c r="AM19" s="207"/>
      <c r="AN19" s="207"/>
      <c r="AO19" s="207"/>
      <c r="AP19" s="207"/>
      <c r="AQ19" s="207"/>
      <c r="AR19" s="210"/>
      <c r="AS19" s="182"/>
      <c r="AU19" s="519"/>
      <c r="AV19" s="175"/>
      <c r="AW19" s="207"/>
      <c r="AX19" s="207"/>
      <c r="AY19" s="207"/>
      <c r="AZ19" s="207"/>
      <c r="BA19" s="207"/>
      <c r="BB19" s="207"/>
      <c r="BC19" s="207"/>
      <c r="BD19" s="207"/>
      <c r="BE19" s="207"/>
      <c r="BF19" s="207"/>
      <c r="BG19" s="210"/>
      <c r="BH19" s="182"/>
    </row>
    <row r="20" spans="2:60" ht="11.25" customHeight="1" x14ac:dyDescent="0.2">
      <c r="B20" s="522"/>
      <c r="C20" s="175"/>
      <c r="D20" s="562"/>
      <c r="E20" s="353"/>
      <c r="F20" s="563"/>
      <c r="G20" s="183"/>
      <c r="H20" s="562"/>
      <c r="I20" s="353"/>
      <c r="J20" s="563"/>
      <c r="K20" s="183"/>
      <c r="L20" s="562"/>
      <c r="M20" s="353"/>
      <c r="N20" s="563"/>
      <c r="O20" s="182"/>
      <c r="Q20" s="519"/>
      <c r="R20" s="175"/>
      <c r="S20" s="515" t="str">
        <f>IF(Roster!$K$25="Italiano","ABILITÀ &amp; TRATTI",(IF(Roster!$K$25="Español","HABILIDADES Y RASGOS","SKILLS &amp; TRAITS")))</f>
        <v>SKILLS &amp; TRAITS</v>
      </c>
      <c r="T20" s="516"/>
      <c r="U20" s="516"/>
      <c r="V20" s="516"/>
      <c r="W20" s="516"/>
      <c r="X20" s="516"/>
      <c r="Y20" s="516"/>
      <c r="Z20" s="516"/>
      <c r="AA20" s="516"/>
      <c r="AB20" s="516"/>
      <c r="AC20" s="517"/>
      <c r="AD20" s="182"/>
      <c r="AF20" s="519"/>
      <c r="AG20" s="175"/>
      <c r="AH20" s="515" t="str">
        <f>IF(Roster!$K$25="Italiano","ABILITÀ &amp; TRATTI",(IF(Roster!$K$25="Español","HABILIDADES Y RASGOS","SKILLS &amp; TRAITS")))</f>
        <v>SKILLS &amp; TRAITS</v>
      </c>
      <c r="AI20" s="516"/>
      <c r="AJ20" s="516"/>
      <c r="AK20" s="516"/>
      <c r="AL20" s="516"/>
      <c r="AM20" s="516"/>
      <c r="AN20" s="516"/>
      <c r="AO20" s="516"/>
      <c r="AP20" s="516"/>
      <c r="AQ20" s="516"/>
      <c r="AR20" s="517"/>
      <c r="AS20" s="182"/>
      <c r="AU20" s="519"/>
      <c r="AV20" s="175"/>
      <c r="AW20" s="515" t="str">
        <f>IF(Roster!$K$25="Italiano","ABILITÀ &amp; TRATTI",(IF(Roster!$K$25="Español","HABILIDADES Y RASGOS","SKILLS &amp; TRAITS")))</f>
        <v>SKILLS &amp; TRAITS</v>
      </c>
      <c r="AX20" s="516"/>
      <c r="AY20" s="516"/>
      <c r="AZ20" s="516"/>
      <c r="BA20" s="516"/>
      <c r="BB20" s="516"/>
      <c r="BC20" s="516"/>
      <c r="BD20" s="516"/>
      <c r="BE20" s="516"/>
      <c r="BF20" s="516"/>
      <c r="BG20" s="517"/>
      <c r="BH20" s="182"/>
    </row>
    <row r="21" spans="2:60" ht="6.75" customHeight="1" x14ac:dyDescent="0.2">
      <c r="B21" s="522"/>
      <c r="C21" s="175"/>
      <c r="D21" s="337"/>
      <c r="E21" s="368"/>
      <c r="F21" s="338"/>
      <c r="G21" s="184"/>
      <c r="H21" s="337"/>
      <c r="I21" s="368"/>
      <c r="J21" s="338"/>
      <c r="K21" s="184"/>
      <c r="L21" s="337"/>
      <c r="M21" s="368"/>
      <c r="N21" s="338"/>
      <c r="O21" s="182"/>
      <c r="Q21" s="403"/>
      <c r="R21" s="175"/>
      <c r="S21" s="508" t="str">
        <f>IF(Roster!$P$2=0&amp;BF2,"",Roster!$P$2)</f>
        <v>Always Hungry, Loner (3+), Mighty Blow (+1), Projectile Vomit, Really Stupid, Regeneration, Throw Team-mate</v>
      </c>
      <c r="T21" s="488"/>
      <c r="U21" s="488"/>
      <c r="V21" s="488"/>
      <c r="W21" s="488"/>
      <c r="X21" s="488"/>
      <c r="Y21" s="488"/>
      <c r="Z21" s="488"/>
      <c r="AA21" s="488"/>
      <c r="AB21" s="488"/>
      <c r="AC21" s="509"/>
      <c r="AD21" s="182"/>
      <c r="AF21" s="403"/>
      <c r="AG21" s="175"/>
      <c r="AH21" s="508" t="str">
        <f>IF(Roster!$P$3=0&amp;BU3,"",Roster!$P$3)</f>
        <v>Brawler, Grab</v>
      </c>
      <c r="AI21" s="488"/>
      <c r="AJ21" s="488"/>
      <c r="AK21" s="488"/>
      <c r="AL21" s="488"/>
      <c r="AM21" s="488"/>
      <c r="AN21" s="488"/>
      <c r="AO21" s="488"/>
      <c r="AP21" s="488"/>
      <c r="AQ21" s="488"/>
      <c r="AR21" s="509"/>
      <c r="AS21" s="182"/>
      <c r="AU21" s="403"/>
      <c r="AV21" s="175"/>
      <c r="AW21" s="508" t="str">
        <f>IF(Roster!$P$4=0&amp;CJ4,"",Roster!$P$4)</f>
        <v>Brawler, Grab, Juggernaut</v>
      </c>
      <c r="AX21" s="488"/>
      <c r="AY21" s="488"/>
      <c r="AZ21" s="488"/>
      <c r="BA21" s="488"/>
      <c r="BB21" s="488"/>
      <c r="BC21" s="488"/>
      <c r="BD21" s="488"/>
      <c r="BE21" s="488"/>
      <c r="BF21" s="488"/>
      <c r="BG21" s="509"/>
      <c r="BH21" s="182"/>
    </row>
    <row r="22" spans="2:60" ht="11.25" customHeight="1" x14ac:dyDescent="0.2">
      <c r="B22" s="522"/>
      <c r="C22" s="171"/>
      <c r="D22" s="557" t="str">
        <f>IF(Roster!$AE$28=0,"",Roster!$AE$28)</f>
        <v>BIASED REFEREE</v>
      </c>
      <c r="E22" s="296"/>
      <c r="F22" s="297"/>
      <c r="G22" s="184"/>
      <c r="H22" s="557" t="str">
        <f>IF(Roster!$AE$29=0,"",Roster!$AE$29)</f>
        <v>OTHER INDUCEMENTS</v>
      </c>
      <c r="I22" s="296"/>
      <c r="J22" s="297"/>
      <c r="K22" s="184"/>
      <c r="L22" s="524" t="str">
        <f>IF(Roster!$AE$31=0,"",Roster!$AE$31)</f>
        <v>WANDERING APO</v>
      </c>
      <c r="M22" s="296"/>
      <c r="N22" s="297"/>
      <c r="O22" s="185"/>
      <c r="Q22" s="173" t="str">
        <f>IF(Roster!$AO$1=0,"",Roster!$AO$1)</f>
        <v>COST</v>
      </c>
      <c r="R22" s="174"/>
      <c r="S22" s="510"/>
      <c r="T22" s="511"/>
      <c r="U22" s="511"/>
      <c r="V22" s="511"/>
      <c r="W22" s="511"/>
      <c r="X22" s="511"/>
      <c r="Y22" s="511"/>
      <c r="Z22" s="511"/>
      <c r="AA22" s="511"/>
      <c r="AB22" s="511"/>
      <c r="AC22" s="509"/>
      <c r="AD22" s="185"/>
      <c r="AF22" s="173" t="str">
        <f>IF(Roster!$AO$1=0,"",Roster!$AO$1)</f>
        <v>COST</v>
      </c>
      <c r="AG22" s="174"/>
      <c r="AH22" s="510"/>
      <c r="AI22" s="511"/>
      <c r="AJ22" s="511"/>
      <c r="AK22" s="511"/>
      <c r="AL22" s="511"/>
      <c r="AM22" s="511"/>
      <c r="AN22" s="511"/>
      <c r="AO22" s="511"/>
      <c r="AP22" s="511"/>
      <c r="AQ22" s="511"/>
      <c r="AR22" s="509"/>
      <c r="AS22" s="185"/>
      <c r="AU22" s="173" t="str">
        <f>IF(Roster!$AO$1=0,"",Roster!$AO$1)</f>
        <v>COST</v>
      </c>
      <c r="AV22" s="174"/>
      <c r="AW22" s="510"/>
      <c r="AX22" s="511"/>
      <c r="AY22" s="511"/>
      <c r="AZ22" s="511"/>
      <c r="BA22" s="511"/>
      <c r="BB22" s="511"/>
      <c r="BC22" s="511"/>
      <c r="BD22" s="511"/>
      <c r="BE22" s="511"/>
      <c r="BF22" s="511"/>
      <c r="BG22" s="509"/>
      <c r="BH22" s="185"/>
    </row>
    <row r="23" spans="2:60" ht="34.5" customHeight="1" x14ac:dyDescent="0.2">
      <c r="B23" s="523"/>
      <c r="C23" s="186"/>
      <c r="D23" s="558">
        <f>Roster!$AJ$28</f>
        <v>0</v>
      </c>
      <c r="E23" s="293"/>
      <c r="F23" s="294"/>
      <c r="G23" s="184"/>
      <c r="H23" s="558">
        <f>Roster!$AJ$29</f>
        <v>0</v>
      </c>
      <c r="I23" s="293"/>
      <c r="J23" s="294"/>
      <c r="K23" s="184"/>
      <c r="L23" s="558">
        <f>Roster!$AJ$31</f>
        <v>0</v>
      </c>
      <c r="M23" s="293"/>
      <c r="N23" s="294"/>
      <c r="O23" s="185"/>
      <c r="Q23" s="187">
        <f>IF(Roster!$AO$2=0,"",Roster!$AO$2)</f>
        <v>115000</v>
      </c>
      <c r="R23" s="188"/>
      <c r="S23" s="512"/>
      <c r="T23" s="513"/>
      <c r="U23" s="513"/>
      <c r="V23" s="513"/>
      <c r="W23" s="513"/>
      <c r="X23" s="513"/>
      <c r="Y23" s="513"/>
      <c r="Z23" s="513"/>
      <c r="AA23" s="513"/>
      <c r="AB23" s="513"/>
      <c r="AC23" s="514"/>
      <c r="AD23" s="185"/>
      <c r="AF23" s="187">
        <f>IF(Roster!$AO$3=0,"",Roster!$AO$3)</f>
        <v>90000</v>
      </c>
      <c r="AG23" s="188"/>
      <c r="AH23" s="512"/>
      <c r="AI23" s="513"/>
      <c r="AJ23" s="513"/>
      <c r="AK23" s="513"/>
      <c r="AL23" s="513"/>
      <c r="AM23" s="513"/>
      <c r="AN23" s="513"/>
      <c r="AO23" s="513"/>
      <c r="AP23" s="513"/>
      <c r="AQ23" s="513"/>
      <c r="AR23" s="514"/>
      <c r="AS23" s="185"/>
      <c r="AU23" s="187">
        <f>IF(Roster!$AO$4=0,"",Roster!$AO$4)</f>
        <v>100000</v>
      </c>
      <c r="AV23" s="188"/>
      <c r="AW23" s="512"/>
      <c r="AX23" s="513"/>
      <c r="AY23" s="513"/>
      <c r="AZ23" s="513"/>
      <c r="BA23" s="513"/>
      <c r="BB23" s="513"/>
      <c r="BC23" s="513"/>
      <c r="BD23" s="513"/>
      <c r="BE23" s="513"/>
      <c r="BF23" s="513"/>
      <c r="BG23" s="514"/>
      <c r="BH23" s="185"/>
    </row>
    <row r="24" spans="2:60" ht="4.5" customHeight="1" x14ac:dyDescent="0.2">
      <c r="B24" s="520"/>
      <c r="C24" s="330"/>
      <c r="D24" s="330"/>
      <c r="E24" s="330"/>
      <c r="F24" s="330"/>
      <c r="G24" s="330"/>
      <c r="H24" s="330"/>
      <c r="I24" s="330"/>
      <c r="J24" s="330"/>
      <c r="K24" s="330"/>
      <c r="L24" s="330"/>
      <c r="M24" s="330"/>
      <c r="N24" s="331"/>
      <c r="O24" s="189"/>
      <c r="Q24" s="520"/>
      <c r="R24" s="330"/>
      <c r="S24" s="330"/>
      <c r="T24" s="330"/>
      <c r="U24" s="330"/>
      <c r="V24" s="330"/>
      <c r="W24" s="330"/>
      <c r="X24" s="330"/>
      <c r="Y24" s="330"/>
      <c r="Z24" s="330"/>
      <c r="AA24" s="330"/>
      <c r="AB24" s="330"/>
      <c r="AC24" s="331"/>
      <c r="AD24" s="189"/>
      <c r="AF24" s="520"/>
      <c r="AG24" s="330"/>
      <c r="AH24" s="330"/>
      <c r="AI24" s="330"/>
      <c r="AJ24" s="330"/>
      <c r="AK24" s="330"/>
      <c r="AL24" s="330"/>
      <c r="AM24" s="330"/>
      <c r="AN24" s="330"/>
      <c r="AO24" s="330"/>
      <c r="AP24" s="330"/>
      <c r="AQ24" s="330"/>
      <c r="AR24" s="331"/>
      <c r="AS24" s="189"/>
      <c r="AU24" s="520"/>
      <c r="AV24" s="330"/>
      <c r="AW24" s="330"/>
      <c r="AX24" s="330"/>
      <c r="AY24" s="330"/>
      <c r="AZ24" s="330"/>
      <c r="BA24" s="330"/>
      <c r="BB24" s="330"/>
      <c r="BC24" s="330"/>
      <c r="BD24" s="330"/>
      <c r="BE24" s="330"/>
      <c r="BF24" s="330"/>
      <c r="BG24" s="331"/>
      <c r="BH24" s="189"/>
    </row>
    <row r="25" spans="2:60" ht="11.25" customHeight="1" x14ac:dyDescent="0.2"/>
    <row r="26" spans="2:60" ht="4.5" customHeight="1" x14ac:dyDescent="0.2">
      <c r="B26" s="521" t="str">
        <f>IF(Roster!$A$5=0,"","#"&amp;Roster!$A$5)</f>
        <v>#4</v>
      </c>
      <c r="C26" s="167"/>
      <c r="D26" s="167"/>
      <c r="E26" s="167"/>
      <c r="F26" s="167"/>
      <c r="G26" s="167"/>
      <c r="H26" s="167"/>
      <c r="I26" s="167"/>
      <c r="J26" s="167"/>
      <c r="K26" s="167"/>
      <c r="L26" s="167"/>
      <c r="M26" s="167"/>
      <c r="N26" s="167"/>
      <c r="O26" s="168"/>
      <c r="Q26" s="521" t="str">
        <f>IF(Roster!$A$6=0,"","#"&amp;Roster!$A$6)</f>
        <v>#5</v>
      </c>
      <c r="R26" s="167"/>
      <c r="S26" s="167"/>
      <c r="T26" s="167"/>
      <c r="U26" s="167"/>
      <c r="V26" s="167"/>
      <c r="W26" s="167"/>
      <c r="X26" s="167"/>
      <c r="Y26" s="167"/>
      <c r="Z26" s="167"/>
      <c r="AA26" s="167"/>
      <c r="AB26" s="167"/>
      <c r="AC26" s="167"/>
      <c r="AD26" s="168"/>
      <c r="AF26" s="521" t="str">
        <f>IF(Roster!$A$7=0,"","#"&amp;Roster!$A$7)</f>
        <v>#6</v>
      </c>
      <c r="AG26" s="167"/>
      <c r="AH26" s="167"/>
      <c r="AI26" s="167"/>
      <c r="AJ26" s="167"/>
      <c r="AK26" s="167"/>
      <c r="AL26" s="167"/>
      <c r="AM26" s="167"/>
      <c r="AN26" s="167"/>
      <c r="AO26" s="167"/>
      <c r="AP26" s="167"/>
      <c r="AQ26" s="167"/>
      <c r="AR26" s="167"/>
      <c r="AS26" s="168"/>
      <c r="AU26" s="521" t="str">
        <f>IF(Roster!$A$8=0,"","#"&amp;Roster!$A$8)</f>
        <v>#7</v>
      </c>
      <c r="AV26" s="167"/>
      <c r="AW26" s="167"/>
      <c r="AX26" s="167"/>
      <c r="AY26" s="167"/>
      <c r="AZ26" s="167"/>
      <c r="BA26" s="167"/>
      <c r="BB26" s="167"/>
      <c r="BC26" s="167"/>
      <c r="BD26" s="167"/>
      <c r="BE26" s="167"/>
      <c r="BF26" s="167"/>
      <c r="BG26" s="167"/>
      <c r="BH26" s="168"/>
    </row>
    <row r="27" spans="2:60" ht="15" customHeight="1" x14ac:dyDescent="0.25">
      <c r="B27" s="522"/>
      <c r="C27" s="507" t="str">
        <f>IF(Roster!$B$5=0,"",Roster!$B$5)</f>
        <v>Cheeriorcs</v>
      </c>
      <c r="D27" s="296"/>
      <c r="E27" s="296"/>
      <c r="F27" s="296"/>
      <c r="G27" s="296"/>
      <c r="H27" s="296"/>
      <c r="I27" s="296"/>
      <c r="J27" s="296"/>
      <c r="K27" s="296"/>
      <c r="L27" s="296"/>
      <c r="M27" s="296"/>
      <c r="N27" s="297"/>
      <c r="O27" s="169"/>
      <c r="Q27" s="522"/>
      <c r="R27" s="507" t="str">
        <f>IF(Roster!$B$6=0,"",Roster!$B$6)</f>
        <v>Orc Flakes</v>
      </c>
      <c r="S27" s="296"/>
      <c r="T27" s="296"/>
      <c r="U27" s="296"/>
      <c r="V27" s="296"/>
      <c r="W27" s="296"/>
      <c r="X27" s="296"/>
      <c r="Y27" s="296"/>
      <c r="Z27" s="296"/>
      <c r="AA27" s="296"/>
      <c r="AB27" s="296"/>
      <c r="AC27" s="297"/>
      <c r="AD27" s="169"/>
      <c r="AF27" s="522"/>
      <c r="AG27" s="507" t="str">
        <f>IF(Roster!$B$7=0,"",Roster!$B$7)</f>
        <v>Mizura</v>
      </c>
      <c r="AH27" s="296"/>
      <c r="AI27" s="296"/>
      <c r="AJ27" s="296"/>
      <c r="AK27" s="296"/>
      <c r="AL27" s="296"/>
      <c r="AM27" s="296"/>
      <c r="AN27" s="296"/>
      <c r="AO27" s="296"/>
      <c r="AP27" s="296"/>
      <c r="AQ27" s="296"/>
      <c r="AR27" s="297"/>
      <c r="AS27" s="169"/>
      <c r="AU27" s="522"/>
      <c r="AV27" s="507" t="str">
        <f>IF(Roster!$B$8=0,"",Roster!$B$8)</f>
        <v>Froztie</v>
      </c>
      <c r="AW27" s="296"/>
      <c r="AX27" s="296"/>
      <c r="AY27" s="296"/>
      <c r="AZ27" s="296"/>
      <c r="BA27" s="296"/>
      <c r="BB27" s="296"/>
      <c r="BC27" s="296"/>
      <c r="BD27" s="296"/>
      <c r="BE27" s="296"/>
      <c r="BF27" s="296"/>
      <c r="BG27" s="297"/>
      <c r="BH27" s="169"/>
    </row>
    <row r="28" spans="2:60" ht="11.25" customHeight="1" x14ac:dyDescent="0.2">
      <c r="B28" s="523"/>
      <c r="C28" s="524" t="str">
        <f>IF(Roster!$D$5=0,"",Roster!$D$5)</f>
        <v>Black Orc</v>
      </c>
      <c r="D28" s="296"/>
      <c r="E28" s="296"/>
      <c r="F28" s="296"/>
      <c r="G28" s="296"/>
      <c r="H28" s="296"/>
      <c r="I28" s="296"/>
      <c r="J28" s="296"/>
      <c r="K28" s="296"/>
      <c r="L28" s="296"/>
      <c r="M28" s="296"/>
      <c r="N28" s="297"/>
      <c r="O28" s="170"/>
      <c r="Q28" s="523"/>
      <c r="R28" s="524" t="str">
        <f>IF(Roster!$D$6=0,"",Roster!$D$6)</f>
        <v>Black Orc</v>
      </c>
      <c r="S28" s="296"/>
      <c r="T28" s="296"/>
      <c r="U28" s="296"/>
      <c r="V28" s="296"/>
      <c r="W28" s="296"/>
      <c r="X28" s="296"/>
      <c r="Y28" s="296"/>
      <c r="Z28" s="296"/>
      <c r="AA28" s="296"/>
      <c r="AB28" s="296"/>
      <c r="AC28" s="297"/>
      <c r="AD28" s="170"/>
      <c r="AF28" s="523"/>
      <c r="AG28" s="524" t="str">
        <f>IF(Roster!$D$7=0,"",Roster!$D$7)</f>
        <v>Black Orc</v>
      </c>
      <c r="AH28" s="296"/>
      <c r="AI28" s="296"/>
      <c r="AJ28" s="296"/>
      <c r="AK28" s="296"/>
      <c r="AL28" s="296"/>
      <c r="AM28" s="296"/>
      <c r="AN28" s="296"/>
      <c r="AO28" s="296"/>
      <c r="AP28" s="296"/>
      <c r="AQ28" s="296"/>
      <c r="AR28" s="297"/>
      <c r="AS28" s="170"/>
      <c r="AU28" s="523"/>
      <c r="AV28" s="524" t="str">
        <f>IF(Roster!$D$8=0,"",Roster!$D$8)</f>
        <v>Black Orc</v>
      </c>
      <c r="AW28" s="296"/>
      <c r="AX28" s="296"/>
      <c r="AY28" s="296"/>
      <c r="AZ28" s="296"/>
      <c r="BA28" s="296"/>
      <c r="BB28" s="296"/>
      <c r="BC28" s="296"/>
      <c r="BD28" s="296"/>
      <c r="BE28" s="296"/>
      <c r="BF28" s="296"/>
      <c r="BG28" s="297"/>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4</v>
      </c>
      <c r="C30" s="174"/>
      <c r="D30" s="525"/>
      <c r="E30" s="526"/>
      <c r="F30" s="526"/>
      <c r="G30" s="526"/>
      <c r="H30" s="526"/>
      <c r="I30" s="526"/>
      <c r="J30" s="526"/>
      <c r="K30" s="526"/>
      <c r="L30" s="526"/>
      <c r="M30" s="526"/>
      <c r="N30" s="527"/>
      <c r="O30" s="169"/>
      <c r="Q30" s="176">
        <f>IF(Roster!$K$6=0,"",Roster!$K$6)</f>
        <v>4</v>
      </c>
      <c r="R30" s="174"/>
      <c r="S30" s="525"/>
      <c r="T30" s="526"/>
      <c r="U30" s="526"/>
      <c r="V30" s="526"/>
      <c r="W30" s="526"/>
      <c r="X30" s="526"/>
      <c r="Y30" s="526"/>
      <c r="Z30" s="526"/>
      <c r="AA30" s="526"/>
      <c r="AB30" s="526"/>
      <c r="AC30" s="527"/>
      <c r="AD30" s="169"/>
      <c r="AF30" s="176">
        <f>IF(Roster!$K$7=0,"",Roster!$K$7)</f>
        <v>4</v>
      </c>
      <c r="AG30" s="174"/>
      <c r="AH30" s="525"/>
      <c r="AI30" s="526"/>
      <c r="AJ30" s="526"/>
      <c r="AK30" s="526"/>
      <c r="AL30" s="526"/>
      <c r="AM30" s="526"/>
      <c r="AN30" s="526"/>
      <c r="AO30" s="526"/>
      <c r="AP30" s="526"/>
      <c r="AQ30" s="526"/>
      <c r="AR30" s="527"/>
      <c r="AS30" s="169"/>
      <c r="AU30" s="176">
        <f>IF(Roster!$K$8=0,"",Roster!$K$8)</f>
        <v>4</v>
      </c>
      <c r="AV30" s="174"/>
      <c r="AW30" s="525"/>
      <c r="AX30" s="526"/>
      <c r="AY30" s="526"/>
      <c r="AZ30" s="526"/>
      <c r="BA30" s="526"/>
      <c r="BB30" s="526"/>
      <c r="BC30" s="526"/>
      <c r="BD30" s="526"/>
      <c r="BE30" s="526"/>
      <c r="BF30" s="526"/>
      <c r="BG30" s="527"/>
      <c r="BH30" s="169"/>
    </row>
    <row r="31" spans="2:60" ht="11.25" customHeight="1" x14ac:dyDescent="0.2">
      <c r="B31" s="173" t="str">
        <f>IF(Roster!$L$1=0,"",Roster!$L$1)</f>
        <v>ST</v>
      </c>
      <c r="C31" s="174"/>
      <c r="D31" s="528"/>
      <c r="E31" s="529"/>
      <c r="F31" s="529"/>
      <c r="G31" s="529"/>
      <c r="H31" s="529"/>
      <c r="I31" s="529"/>
      <c r="J31" s="529"/>
      <c r="K31" s="529"/>
      <c r="L31" s="529"/>
      <c r="M31" s="529"/>
      <c r="N31" s="530"/>
      <c r="O31" s="169"/>
      <c r="Q31" s="173" t="str">
        <f>IF(Roster!$L$1=0,"",Roster!$L$1)</f>
        <v>ST</v>
      </c>
      <c r="R31" s="174"/>
      <c r="S31" s="528"/>
      <c r="T31" s="529"/>
      <c r="U31" s="529"/>
      <c r="V31" s="529"/>
      <c r="W31" s="529"/>
      <c r="X31" s="529"/>
      <c r="Y31" s="529"/>
      <c r="Z31" s="529"/>
      <c r="AA31" s="529"/>
      <c r="AB31" s="529"/>
      <c r="AC31" s="530"/>
      <c r="AD31" s="169"/>
      <c r="AF31" s="173" t="str">
        <f>IF(Roster!$L$1=0,"",Roster!$L$1)</f>
        <v>ST</v>
      </c>
      <c r="AG31" s="174"/>
      <c r="AH31" s="528"/>
      <c r="AI31" s="529"/>
      <c r="AJ31" s="529"/>
      <c r="AK31" s="529"/>
      <c r="AL31" s="529"/>
      <c r="AM31" s="529"/>
      <c r="AN31" s="529"/>
      <c r="AO31" s="529"/>
      <c r="AP31" s="529"/>
      <c r="AQ31" s="529"/>
      <c r="AR31" s="530"/>
      <c r="AS31" s="169"/>
      <c r="AU31" s="173" t="str">
        <f>IF(Roster!$L$1=0,"",Roster!$L$1)</f>
        <v>ST</v>
      </c>
      <c r="AV31" s="174"/>
      <c r="AW31" s="528"/>
      <c r="AX31" s="529"/>
      <c r="AY31" s="529"/>
      <c r="AZ31" s="529"/>
      <c r="BA31" s="529"/>
      <c r="BB31" s="529"/>
      <c r="BC31" s="529"/>
      <c r="BD31" s="529"/>
      <c r="BE31" s="529"/>
      <c r="BF31" s="529"/>
      <c r="BG31" s="530"/>
      <c r="BH31" s="169"/>
    </row>
    <row r="32" spans="2:60" ht="37.5" customHeight="1" x14ac:dyDescent="0.2">
      <c r="B32" s="176">
        <f>IF(Roster!$L$5=0,"",Roster!$L$5)</f>
        <v>4</v>
      </c>
      <c r="C32" s="174"/>
      <c r="D32" s="528"/>
      <c r="E32" s="529"/>
      <c r="F32" s="529"/>
      <c r="G32" s="529"/>
      <c r="H32" s="529"/>
      <c r="I32" s="529"/>
      <c r="J32" s="529"/>
      <c r="K32" s="529"/>
      <c r="L32" s="529"/>
      <c r="M32" s="529"/>
      <c r="N32" s="530"/>
      <c r="O32" s="169"/>
      <c r="Q32" s="176">
        <f>IF(Roster!$L$6=0,"",Roster!$L$6)</f>
        <v>4</v>
      </c>
      <c r="R32" s="174"/>
      <c r="S32" s="528"/>
      <c r="T32" s="529"/>
      <c r="U32" s="529"/>
      <c r="V32" s="529"/>
      <c r="W32" s="529"/>
      <c r="X32" s="529"/>
      <c r="Y32" s="529"/>
      <c r="Z32" s="529"/>
      <c r="AA32" s="529"/>
      <c r="AB32" s="529"/>
      <c r="AC32" s="530"/>
      <c r="AD32" s="169"/>
      <c r="AF32" s="176">
        <f>IF(Roster!$L$7=0,"",Roster!$L$7)</f>
        <v>4</v>
      </c>
      <c r="AG32" s="174"/>
      <c r="AH32" s="528"/>
      <c r="AI32" s="529"/>
      <c r="AJ32" s="529"/>
      <c r="AK32" s="529"/>
      <c r="AL32" s="529"/>
      <c r="AM32" s="529"/>
      <c r="AN32" s="529"/>
      <c r="AO32" s="529"/>
      <c r="AP32" s="529"/>
      <c r="AQ32" s="529"/>
      <c r="AR32" s="530"/>
      <c r="AS32" s="169"/>
      <c r="AU32" s="176">
        <f>IF(Roster!$L$8=0,"",Roster!$L$8)</f>
        <v>4</v>
      </c>
      <c r="AV32" s="174"/>
      <c r="AW32" s="528"/>
      <c r="AX32" s="529"/>
      <c r="AY32" s="529"/>
      <c r="AZ32" s="529"/>
      <c r="BA32" s="529"/>
      <c r="BB32" s="529"/>
      <c r="BC32" s="529"/>
      <c r="BD32" s="529"/>
      <c r="BE32" s="529"/>
      <c r="BF32" s="529"/>
      <c r="BG32" s="530"/>
      <c r="BH32" s="169"/>
    </row>
    <row r="33" spans="2:60" ht="11.25" customHeight="1" x14ac:dyDescent="0.2">
      <c r="B33" s="173" t="str">
        <f>IF(Roster!$M$1=0,"",Roster!$M$1)</f>
        <v>AG</v>
      </c>
      <c r="C33" s="174"/>
      <c r="D33" s="528"/>
      <c r="E33" s="529"/>
      <c r="F33" s="529"/>
      <c r="G33" s="529"/>
      <c r="H33" s="529"/>
      <c r="I33" s="529"/>
      <c r="J33" s="529"/>
      <c r="K33" s="529"/>
      <c r="L33" s="529"/>
      <c r="M33" s="529"/>
      <c r="N33" s="530"/>
      <c r="O33" s="169"/>
      <c r="Q33" s="173" t="str">
        <f>IF(Roster!$M$1=0,"",Roster!$M$1)</f>
        <v>AG</v>
      </c>
      <c r="R33" s="174"/>
      <c r="S33" s="528"/>
      <c r="T33" s="529"/>
      <c r="U33" s="529"/>
      <c r="V33" s="529"/>
      <c r="W33" s="529"/>
      <c r="X33" s="529"/>
      <c r="Y33" s="529"/>
      <c r="Z33" s="529"/>
      <c r="AA33" s="529"/>
      <c r="AB33" s="529"/>
      <c r="AC33" s="530"/>
      <c r="AD33" s="169"/>
      <c r="AF33" s="173" t="str">
        <f>IF(Roster!$M$1=0,"",Roster!$M$1)</f>
        <v>AG</v>
      </c>
      <c r="AG33" s="174"/>
      <c r="AH33" s="528"/>
      <c r="AI33" s="529"/>
      <c r="AJ33" s="529"/>
      <c r="AK33" s="529"/>
      <c r="AL33" s="529"/>
      <c r="AM33" s="529"/>
      <c r="AN33" s="529"/>
      <c r="AO33" s="529"/>
      <c r="AP33" s="529"/>
      <c r="AQ33" s="529"/>
      <c r="AR33" s="530"/>
      <c r="AS33" s="169"/>
      <c r="AU33" s="173" t="str">
        <f>IF(Roster!$M$1=0,"",Roster!$M$1)</f>
        <v>AG</v>
      </c>
      <c r="AV33" s="174"/>
      <c r="AW33" s="528"/>
      <c r="AX33" s="529"/>
      <c r="AY33" s="529"/>
      <c r="AZ33" s="529"/>
      <c r="BA33" s="529"/>
      <c r="BB33" s="529"/>
      <c r="BC33" s="529"/>
      <c r="BD33" s="529"/>
      <c r="BE33" s="529"/>
      <c r="BF33" s="529"/>
      <c r="BG33" s="530"/>
      <c r="BH33" s="169"/>
    </row>
    <row r="34" spans="2:60" ht="37.5" customHeight="1" x14ac:dyDescent="0.2">
      <c r="B34" s="176" t="str">
        <f>IF(Roster!$M$5=0&amp;"+","",Roster!$M$5)</f>
        <v>4+</v>
      </c>
      <c r="C34" s="174"/>
      <c r="D34" s="528"/>
      <c r="E34" s="529"/>
      <c r="F34" s="529"/>
      <c r="G34" s="529"/>
      <c r="H34" s="529"/>
      <c r="I34" s="529"/>
      <c r="J34" s="529"/>
      <c r="K34" s="529"/>
      <c r="L34" s="529"/>
      <c r="M34" s="529"/>
      <c r="N34" s="530"/>
      <c r="O34" s="169"/>
      <c r="Q34" s="176" t="str">
        <f>IF(Roster!$M$6=0&amp;"+","",Roster!$M$6)</f>
        <v>4+</v>
      </c>
      <c r="R34" s="174"/>
      <c r="S34" s="528"/>
      <c r="T34" s="529"/>
      <c r="U34" s="529"/>
      <c r="V34" s="529"/>
      <c r="W34" s="529"/>
      <c r="X34" s="529"/>
      <c r="Y34" s="529"/>
      <c r="Z34" s="529"/>
      <c r="AA34" s="529"/>
      <c r="AB34" s="529"/>
      <c r="AC34" s="530"/>
      <c r="AD34" s="169"/>
      <c r="AF34" s="176" t="str">
        <f>IF(Roster!$M$7=0&amp;"+","",Roster!$M$7)</f>
        <v>4+</v>
      </c>
      <c r="AG34" s="174"/>
      <c r="AH34" s="528"/>
      <c r="AI34" s="529"/>
      <c r="AJ34" s="529"/>
      <c r="AK34" s="529"/>
      <c r="AL34" s="529"/>
      <c r="AM34" s="529"/>
      <c r="AN34" s="529"/>
      <c r="AO34" s="529"/>
      <c r="AP34" s="529"/>
      <c r="AQ34" s="529"/>
      <c r="AR34" s="530"/>
      <c r="AS34" s="169"/>
      <c r="AU34" s="176" t="str">
        <f>IF(Roster!$M$8=0&amp;"+","",Roster!$M$8)</f>
        <v>4+</v>
      </c>
      <c r="AV34" s="174"/>
      <c r="AW34" s="528"/>
      <c r="AX34" s="529"/>
      <c r="AY34" s="529"/>
      <c r="AZ34" s="529"/>
      <c r="BA34" s="529"/>
      <c r="BB34" s="529"/>
      <c r="BC34" s="529"/>
      <c r="BD34" s="529"/>
      <c r="BE34" s="529"/>
      <c r="BF34" s="529"/>
      <c r="BG34" s="530"/>
      <c r="BH34" s="169"/>
    </row>
    <row r="35" spans="2:60" ht="11.25" customHeight="1" x14ac:dyDescent="0.2">
      <c r="B35" s="173" t="str">
        <f>IF(Roster!$N$1=0,"",Roster!$N$1)</f>
        <v>PA</v>
      </c>
      <c r="C35" s="174"/>
      <c r="D35" s="528"/>
      <c r="E35" s="529"/>
      <c r="F35" s="529"/>
      <c r="G35" s="529"/>
      <c r="H35" s="529"/>
      <c r="I35" s="529"/>
      <c r="J35" s="529"/>
      <c r="K35" s="529"/>
      <c r="L35" s="529"/>
      <c r="M35" s="529"/>
      <c r="N35" s="530"/>
      <c r="O35" s="178"/>
      <c r="Q35" s="173" t="str">
        <f>IF(Roster!$N$1=0,"",Roster!$N$1)</f>
        <v>PA</v>
      </c>
      <c r="R35" s="174"/>
      <c r="S35" s="528"/>
      <c r="T35" s="529"/>
      <c r="U35" s="529"/>
      <c r="V35" s="529"/>
      <c r="W35" s="529"/>
      <c r="X35" s="529"/>
      <c r="Y35" s="529"/>
      <c r="Z35" s="529"/>
      <c r="AA35" s="529"/>
      <c r="AB35" s="529"/>
      <c r="AC35" s="530"/>
      <c r="AD35" s="178"/>
      <c r="AF35" s="173" t="str">
        <f>IF(Roster!$N$1=0,"",Roster!$N$1)</f>
        <v>PA</v>
      </c>
      <c r="AG35" s="174"/>
      <c r="AH35" s="528"/>
      <c r="AI35" s="529"/>
      <c r="AJ35" s="529"/>
      <c r="AK35" s="529"/>
      <c r="AL35" s="529"/>
      <c r="AM35" s="529"/>
      <c r="AN35" s="529"/>
      <c r="AO35" s="529"/>
      <c r="AP35" s="529"/>
      <c r="AQ35" s="529"/>
      <c r="AR35" s="530"/>
      <c r="AS35" s="178"/>
      <c r="AU35" s="173" t="str">
        <f>IF(Roster!$N$1=0,"",Roster!$N$1)</f>
        <v>PA</v>
      </c>
      <c r="AV35" s="174"/>
      <c r="AW35" s="528"/>
      <c r="AX35" s="529"/>
      <c r="AY35" s="529"/>
      <c r="AZ35" s="529"/>
      <c r="BA35" s="529"/>
      <c r="BB35" s="529"/>
      <c r="BC35" s="529"/>
      <c r="BD35" s="529"/>
      <c r="BE35" s="529"/>
      <c r="BF35" s="529"/>
      <c r="BG35" s="530"/>
      <c r="BH35" s="178"/>
    </row>
    <row r="36" spans="2:60" ht="6" customHeight="1" x14ac:dyDescent="0.2">
      <c r="B36" s="518" t="str">
        <f>IF(Roster!$N$5=0&amp;"+","",Roster!$N$5)</f>
        <v>5+</v>
      </c>
      <c r="C36" s="174"/>
      <c r="D36" s="531"/>
      <c r="E36" s="532"/>
      <c r="F36" s="532"/>
      <c r="G36" s="532"/>
      <c r="H36" s="532"/>
      <c r="I36" s="532"/>
      <c r="J36" s="532"/>
      <c r="K36" s="532"/>
      <c r="L36" s="532"/>
      <c r="M36" s="532"/>
      <c r="N36" s="533"/>
      <c r="O36" s="180"/>
      <c r="Q36" s="518" t="str">
        <f>IF(Roster!$N$6=0&amp;"+","",Roster!$N$6)</f>
        <v>5+</v>
      </c>
      <c r="R36" s="174"/>
      <c r="S36" s="531"/>
      <c r="T36" s="532"/>
      <c r="U36" s="532"/>
      <c r="V36" s="532"/>
      <c r="W36" s="532"/>
      <c r="X36" s="532"/>
      <c r="Y36" s="532"/>
      <c r="Z36" s="532"/>
      <c r="AA36" s="532"/>
      <c r="AB36" s="532"/>
      <c r="AC36" s="533"/>
      <c r="AD36" s="180"/>
      <c r="AF36" s="518" t="str">
        <f>IF(Roster!$N$7=0&amp;"+","",Roster!$N$7)</f>
        <v>5+</v>
      </c>
      <c r="AG36" s="174"/>
      <c r="AH36" s="531"/>
      <c r="AI36" s="532"/>
      <c r="AJ36" s="532"/>
      <c r="AK36" s="532"/>
      <c r="AL36" s="532"/>
      <c r="AM36" s="532"/>
      <c r="AN36" s="532"/>
      <c r="AO36" s="532"/>
      <c r="AP36" s="532"/>
      <c r="AQ36" s="532"/>
      <c r="AR36" s="533"/>
      <c r="AS36" s="180"/>
      <c r="AU36" s="518" t="str">
        <f>IF(Roster!$N$8=0&amp;"+","",Roster!$N$8)</f>
        <v>5+</v>
      </c>
      <c r="AV36" s="174"/>
      <c r="AW36" s="531"/>
      <c r="AX36" s="532"/>
      <c r="AY36" s="532"/>
      <c r="AZ36" s="532"/>
      <c r="BA36" s="532"/>
      <c r="BB36" s="532"/>
      <c r="BC36" s="532"/>
      <c r="BD36" s="532"/>
      <c r="BE36" s="532"/>
      <c r="BF36" s="532"/>
      <c r="BG36" s="533"/>
      <c r="BH36" s="180"/>
    </row>
    <row r="37" spans="2:60" ht="4.5" customHeight="1" x14ac:dyDescent="0.2">
      <c r="B37" s="519"/>
      <c r="C37" s="172"/>
      <c r="D37" s="181"/>
      <c r="E37" s="179"/>
      <c r="F37" s="181"/>
      <c r="G37" s="179"/>
      <c r="H37" s="181"/>
      <c r="I37" s="179"/>
      <c r="J37" s="181"/>
      <c r="K37" s="179"/>
      <c r="L37" s="181"/>
      <c r="M37" s="179"/>
      <c r="N37" s="181"/>
      <c r="O37" s="180"/>
      <c r="Q37" s="519"/>
      <c r="R37" s="172"/>
      <c r="S37" s="181"/>
      <c r="T37" s="179"/>
      <c r="U37" s="181"/>
      <c r="V37" s="179"/>
      <c r="W37" s="181"/>
      <c r="X37" s="179"/>
      <c r="Y37" s="181"/>
      <c r="Z37" s="179"/>
      <c r="AA37" s="181"/>
      <c r="AB37" s="179"/>
      <c r="AC37" s="181"/>
      <c r="AD37" s="180"/>
      <c r="AF37" s="519"/>
      <c r="AG37" s="172"/>
      <c r="AH37" s="181"/>
      <c r="AI37" s="179"/>
      <c r="AJ37" s="181"/>
      <c r="AK37" s="179"/>
      <c r="AL37" s="181"/>
      <c r="AM37" s="179"/>
      <c r="AN37" s="181"/>
      <c r="AO37" s="179"/>
      <c r="AP37" s="181"/>
      <c r="AQ37" s="179"/>
      <c r="AR37" s="181"/>
      <c r="AS37" s="180"/>
      <c r="AU37" s="519"/>
      <c r="AV37" s="172"/>
      <c r="AW37" s="181"/>
      <c r="AX37" s="179"/>
      <c r="AY37" s="181"/>
      <c r="AZ37" s="179"/>
      <c r="BA37" s="181"/>
      <c r="BB37" s="179"/>
      <c r="BC37" s="181"/>
      <c r="BD37" s="179"/>
      <c r="BE37" s="181"/>
      <c r="BF37" s="179"/>
      <c r="BG37" s="181"/>
      <c r="BH37" s="180"/>
    </row>
    <row r="38" spans="2:60" ht="11.25" customHeight="1" x14ac:dyDescent="0.2">
      <c r="B38" s="519"/>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19"/>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19"/>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19"/>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19"/>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19"/>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19"/>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19"/>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3"/>
      <c r="C40" s="175"/>
      <c r="D40" s="208"/>
      <c r="E40" s="207"/>
      <c r="F40" s="208"/>
      <c r="G40" s="207"/>
      <c r="H40" s="208"/>
      <c r="I40" s="207"/>
      <c r="J40" s="208"/>
      <c r="K40" s="207"/>
      <c r="L40" s="208"/>
      <c r="M40" s="207"/>
      <c r="N40" s="208"/>
      <c r="O40" s="180"/>
      <c r="Q40" s="403"/>
      <c r="R40" s="175"/>
      <c r="S40" s="208"/>
      <c r="T40" s="207"/>
      <c r="U40" s="208"/>
      <c r="V40" s="207"/>
      <c r="W40" s="208"/>
      <c r="X40" s="207"/>
      <c r="Y40" s="208"/>
      <c r="Z40" s="207"/>
      <c r="AA40" s="208"/>
      <c r="AB40" s="207"/>
      <c r="AC40" s="208"/>
      <c r="AD40" s="180"/>
      <c r="AF40" s="403"/>
      <c r="AG40" s="175"/>
      <c r="AH40" s="208"/>
      <c r="AI40" s="207"/>
      <c r="AJ40" s="208"/>
      <c r="AK40" s="207"/>
      <c r="AL40" s="208"/>
      <c r="AM40" s="207"/>
      <c r="AN40" s="208"/>
      <c r="AO40" s="207"/>
      <c r="AP40" s="208"/>
      <c r="AQ40" s="207"/>
      <c r="AR40" s="208"/>
      <c r="AS40" s="180"/>
      <c r="AU40" s="403"/>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18" t="str">
        <f>IF(Roster!$O$5=0&amp;"+","",Roster!$O$5)</f>
        <v>10+</v>
      </c>
      <c r="C42" s="175"/>
      <c r="D42" s="212" t="str">
        <f>IF(Roster!$AE$5=0,"",Roster!$AE$5)</f>
        <v/>
      </c>
      <c r="E42" s="207"/>
      <c r="F42" s="212" t="str">
        <f>IF(Roster!$AF$5=0,"",Roster!$AF$5)</f>
        <v/>
      </c>
      <c r="G42" s="207"/>
      <c r="H42" s="212" t="str">
        <f>IF(Roster!$AB$5=0,"",Roster!$AB$5)</f>
        <v/>
      </c>
      <c r="I42" s="207"/>
      <c r="J42" s="212">
        <f>IF(Roster!$AJ$5=0,"",Roster!$AJ$5)</f>
        <v>1</v>
      </c>
      <c r="K42" s="207"/>
      <c r="L42" s="212">
        <f>IF(Roster!$AK$5=0,"",Roster!$AK$5)</f>
        <v>4</v>
      </c>
      <c r="M42" s="207"/>
      <c r="N42" s="212" t="str">
        <f>IF(Roster!$AA$5=0,"",Roster!$AA$5)</f>
        <v/>
      </c>
      <c r="O42" s="182"/>
      <c r="Q42" s="518" t="str">
        <f>IF(Roster!$O$6=0&amp;"+","",Roster!$O$6)</f>
        <v>10+</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18" t="str">
        <f>IF(Roster!$O$7=0&amp;"+","",Roster!$O$7)</f>
        <v>10+</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18" t="str">
        <f>IF(Roster!$O$8=0&amp;"+","",Roster!$O$8)</f>
        <v>10+</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19"/>
      <c r="C43" s="175"/>
      <c r="D43" s="207"/>
      <c r="E43" s="207"/>
      <c r="F43" s="207"/>
      <c r="G43" s="207"/>
      <c r="H43" s="207"/>
      <c r="I43" s="207"/>
      <c r="J43" s="207"/>
      <c r="K43" s="207"/>
      <c r="L43" s="207"/>
      <c r="M43" s="207"/>
      <c r="N43" s="210"/>
      <c r="O43" s="182"/>
      <c r="Q43" s="519"/>
      <c r="R43" s="175"/>
      <c r="S43" s="207"/>
      <c r="T43" s="207"/>
      <c r="U43" s="207"/>
      <c r="V43" s="207"/>
      <c r="W43" s="207"/>
      <c r="X43" s="207"/>
      <c r="Y43" s="207"/>
      <c r="Z43" s="207"/>
      <c r="AA43" s="207"/>
      <c r="AB43" s="207"/>
      <c r="AC43" s="210"/>
      <c r="AD43" s="182"/>
      <c r="AF43" s="519"/>
      <c r="AG43" s="175"/>
      <c r="AH43" s="207"/>
      <c r="AI43" s="207"/>
      <c r="AJ43" s="207"/>
      <c r="AK43" s="207"/>
      <c r="AL43" s="207"/>
      <c r="AM43" s="207"/>
      <c r="AN43" s="207"/>
      <c r="AO43" s="207"/>
      <c r="AP43" s="207"/>
      <c r="AQ43" s="207"/>
      <c r="AR43" s="210"/>
      <c r="AS43" s="182"/>
      <c r="AU43" s="519"/>
      <c r="AV43" s="175"/>
      <c r="AW43" s="207"/>
      <c r="AX43" s="207"/>
      <c r="AY43" s="207"/>
      <c r="AZ43" s="207"/>
      <c r="BA43" s="207"/>
      <c r="BB43" s="207"/>
      <c r="BC43" s="207"/>
      <c r="BD43" s="207"/>
      <c r="BE43" s="207"/>
      <c r="BF43" s="207"/>
      <c r="BG43" s="210"/>
      <c r="BH43" s="182"/>
    </row>
    <row r="44" spans="2:60" ht="11.25" customHeight="1" x14ac:dyDescent="0.2">
      <c r="B44" s="519"/>
      <c r="C44" s="175"/>
      <c r="D44" s="515" t="str">
        <f>IF(Roster!$K$25="Italiano","ABILITÀ &amp; TRATTI",(IF(Roster!$K$25="Español","HABILIDADES Y RASGOS","SKILLS &amp; TRAITS")))</f>
        <v>SKILLS &amp; TRAITS</v>
      </c>
      <c r="E44" s="516"/>
      <c r="F44" s="516"/>
      <c r="G44" s="516"/>
      <c r="H44" s="516"/>
      <c r="I44" s="516"/>
      <c r="J44" s="516"/>
      <c r="K44" s="516"/>
      <c r="L44" s="516"/>
      <c r="M44" s="516"/>
      <c r="N44" s="517"/>
      <c r="O44" s="182"/>
      <c r="Q44" s="519"/>
      <c r="R44" s="175"/>
      <c r="S44" s="515" t="str">
        <f>IF(Roster!$K$25="Italiano","ABILITÀ &amp; TRATTI",(IF(Roster!$K$25="Español","HABILIDADES Y RASGOS","SKILLS &amp; TRAITS")))</f>
        <v>SKILLS &amp; TRAITS</v>
      </c>
      <c r="T44" s="516"/>
      <c r="U44" s="516"/>
      <c r="V44" s="516"/>
      <c r="W44" s="516"/>
      <c r="X44" s="516"/>
      <c r="Y44" s="516"/>
      <c r="Z44" s="516"/>
      <c r="AA44" s="516"/>
      <c r="AB44" s="516"/>
      <c r="AC44" s="517"/>
      <c r="AD44" s="182"/>
      <c r="AF44" s="519"/>
      <c r="AG44" s="175"/>
      <c r="AH44" s="515" t="str">
        <f>IF(Roster!$K$25="Italiano","ABILITÀ &amp; TRATTI",(IF(Roster!$K$25="Español","HABILIDADES Y RASGOS","SKILLS &amp; TRAITS")))</f>
        <v>SKILLS &amp; TRAITS</v>
      </c>
      <c r="AI44" s="516"/>
      <c r="AJ44" s="516"/>
      <c r="AK44" s="516"/>
      <c r="AL44" s="516"/>
      <c r="AM44" s="516"/>
      <c r="AN44" s="516"/>
      <c r="AO44" s="516"/>
      <c r="AP44" s="516"/>
      <c r="AQ44" s="516"/>
      <c r="AR44" s="517"/>
      <c r="AS44" s="182"/>
      <c r="AU44" s="519"/>
      <c r="AV44" s="175"/>
      <c r="AW44" s="515" t="str">
        <f>IF(Roster!$K$25="Italiano","ABILITÀ &amp; TRATTI",(IF(Roster!$K$25="Español","HABILIDADES Y RASGOS","SKILLS &amp; TRAITS")))</f>
        <v>SKILLS &amp; TRAITS</v>
      </c>
      <c r="AX44" s="516"/>
      <c r="AY44" s="516"/>
      <c r="AZ44" s="516"/>
      <c r="BA44" s="516"/>
      <c r="BB44" s="516"/>
      <c r="BC44" s="516"/>
      <c r="BD44" s="516"/>
      <c r="BE44" s="516"/>
      <c r="BF44" s="516"/>
      <c r="BG44" s="517"/>
      <c r="BH44" s="182"/>
    </row>
    <row r="45" spans="2:60" ht="6.75" customHeight="1" x14ac:dyDescent="0.2">
      <c r="B45" s="403"/>
      <c r="C45" s="175"/>
      <c r="D45" s="508" t="str">
        <f>IF(Roster!$P$5=0&amp;AQ56,"",Roster!$P$5)</f>
        <v>Brawler, Grab, Arm Bar</v>
      </c>
      <c r="E45" s="488"/>
      <c r="F45" s="488"/>
      <c r="G45" s="488"/>
      <c r="H45" s="488"/>
      <c r="I45" s="488"/>
      <c r="J45" s="488"/>
      <c r="K45" s="488"/>
      <c r="L45" s="488"/>
      <c r="M45" s="488"/>
      <c r="N45" s="509"/>
      <c r="O45" s="182"/>
      <c r="Q45" s="403"/>
      <c r="R45" s="175"/>
      <c r="S45" s="508" t="str">
        <f>IF(Roster!$P$6=0&amp;BF66,"",Roster!$P$6)</f>
        <v>Brawler, Grab</v>
      </c>
      <c r="T45" s="488"/>
      <c r="U45" s="488"/>
      <c r="V45" s="488"/>
      <c r="W45" s="488"/>
      <c r="X45" s="488"/>
      <c r="Y45" s="488"/>
      <c r="Z45" s="488"/>
      <c r="AA45" s="488"/>
      <c r="AB45" s="488"/>
      <c r="AC45" s="509"/>
      <c r="AD45" s="182"/>
      <c r="AF45" s="403"/>
      <c r="AG45" s="175"/>
      <c r="AH45" s="508" t="str">
        <f>IF(Roster!$P$7=0&amp;BU76,"",Roster!$P$7)</f>
        <v>Brawler, Grab</v>
      </c>
      <c r="AI45" s="488"/>
      <c r="AJ45" s="488"/>
      <c r="AK45" s="488"/>
      <c r="AL45" s="488"/>
      <c r="AM45" s="488"/>
      <c r="AN45" s="488"/>
      <c r="AO45" s="488"/>
      <c r="AP45" s="488"/>
      <c r="AQ45" s="488"/>
      <c r="AR45" s="509"/>
      <c r="AS45" s="182"/>
      <c r="AU45" s="403"/>
      <c r="AV45" s="175"/>
      <c r="AW45" s="508" t="str">
        <f>IF(Roster!$P$8=0&amp;CJ86,"",Roster!$P$8)</f>
        <v>Brawler, Grab</v>
      </c>
      <c r="AX45" s="488"/>
      <c r="AY45" s="488"/>
      <c r="AZ45" s="488"/>
      <c r="BA45" s="488"/>
      <c r="BB45" s="488"/>
      <c r="BC45" s="488"/>
      <c r="BD45" s="488"/>
      <c r="BE45" s="488"/>
      <c r="BF45" s="488"/>
      <c r="BG45" s="509"/>
      <c r="BH45" s="182"/>
    </row>
    <row r="46" spans="2:60" ht="11.25" customHeight="1" x14ac:dyDescent="0.2">
      <c r="B46" s="173" t="str">
        <f>IF(Roster!$AO$1=0,"",Roster!$AO$1)</f>
        <v>COST</v>
      </c>
      <c r="C46" s="174"/>
      <c r="D46" s="510"/>
      <c r="E46" s="511"/>
      <c r="F46" s="511"/>
      <c r="G46" s="511"/>
      <c r="H46" s="511"/>
      <c r="I46" s="511"/>
      <c r="J46" s="511"/>
      <c r="K46" s="511"/>
      <c r="L46" s="511"/>
      <c r="M46" s="511"/>
      <c r="N46" s="509"/>
      <c r="O46" s="185"/>
      <c r="Q46" s="173" t="str">
        <f>IF(Roster!$AO$1=0,"",Roster!$AO$1)</f>
        <v>COST</v>
      </c>
      <c r="R46" s="174"/>
      <c r="S46" s="510"/>
      <c r="T46" s="511"/>
      <c r="U46" s="511"/>
      <c r="V46" s="511"/>
      <c r="W46" s="511"/>
      <c r="X46" s="511"/>
      <c r="Y46" s="511"/>
      <c r="Z46" s="511"/>
      <c r="AA46" s="511"/>
      <c r="AB46" s="511"/>
      <c r="AC46" s="509"/>
      <c r="AD46" s="185"/>
      <c r="AF46" s="173" t="str">
        <f>IF(Roster!$AO$1=0,"",Roster!$AO$1)</f>
        <v>COST</v>
      </c>
      <c r="AG46" s="174"/>
      <c r="AH46" s="510"/>
      <c r="AI46" s="511"/>
      <c r="AJ46" s="511"/>
      <c r="AK46" s="511"/>
      <c r="AL46" s="511"/>
      <c r="AM46" s="511"/>
      <c r="AN46" s="511"/>
      <c r="AO46" s="511"/>
      <c r="AP46" s="511"/>
      <c r="AQ46" s="511"/>
      <c r="AR46" s="509"/>
      <c r="AS46" s="185"/>
      <c r="AU46" s="173" t="str">
        <f>IF(Roster!$AO$1=0,"",Roster!$AO$1)</f>
        <v>COST</v>
      </c>
      <c r="AV46" s="174"/>
      <c r="AW46" s="510"/>
      <c r="AX46" s="511"/>
      <c r="AY46" s="511"/>
      <c r="AZ46" s="511"/>
      <c r="BA46" s="511"/>
      <c r="BB46" s="511"/>
      <c r="BC46" s="511"/>
      <c r="BD46" s="511"/>
      <c r="BE46" s="511"/>
      <c r="BF46" s="511"/>
      <c r="BG46" s="509"/>
      <c r="BH46" s="185"/>
    </row>
    <row r="47" spans="2:60" ht="34.5" customHeight="1" x14ac:dyDescent="0.2">
      <c r="B47" s="187">
        <f>IF(Roster!$AO$5=0,"",Roster!$AO$5)</f>
        <v>100000</v>
      </c>
      <c r="C47" s="188"/>
      <c r="D47" s="512"/>
      <c r="E47" s="513"/>
      <c r="F47" s="513"/>
      <c r="G47" s="513"/>
      <c r="H47" s="513"/>
      <c r="I47" s="513"/>
      <c r="J47" s="513"/>
      <c r="K47" s="513"/>
      <c r="L47" s="513"/>
      <c r="M47" s="513"/>
      <c r="N47" s="514"/>
      <c r="O47" s="185"/>
      <c r="Q47" s="187">
        <f>IF(Roster!$AO$6=0,"",Roster!$AO$6)</f>
        <v>90000</v>
      </c>
      <c r="R47" s="188"/>
      <c r="S47" s="512"/>
      <c r="T47" s="513"/>
      <c r="U47" s="513"/>
      <c r="V47" s="513"/>
      <c r="W47" s="513"/>
      <c r="X47" s="513"/>
      <c r="Y47" s="513"/>
      <c r="Z47" s="513"/>
      <c r="AA47" s="513"/>
      <c r="AB47" s="513"/>
      <c r="AC47" s="514"/>
      <c r="AD47" s="185"/>
      <c r="AF47" s="187">
        <f>IF(Roster!$AO$7=0,"",Roster!$AO$7)</f>
        <v>90000</v>
      </c>
      <c r="AG47" s="188"/>
      <c r="AH47" s="512"/>
      <c r="AI47" s="513"/>
      <c r="AJ47" s="513"/>
      <c r="AK47" s="513"/>
      <c r="AL47" s="513"/>
      <c r="AM47" s="513"/>
      <c r="AN47" s="513"/>
      <c r="AO47" s="513"/>
      <c r="AP47" s="513"/>
      <c r="AQ47" s="513"/>
      <c r="AR47" s="514"/>
      <c r="AS47" s="185"/>
      <c r="AU47" s="187">
        <f>IF(Roster!$AO$8=0,"",Roster!$AO$8)</f>
        <v>90000</v>
      </c>
      <c r="AV47" s="188"/>
      <c r="AW47" s="512"/>
      <c r="AX47" s="513"/>
      <c r="AY47" s="513"/>
      <c r="AZ47" s="513"/>
      <c r="BA47" s="513"/>
      <c r="BB47" s="513"/>
      <c r="BC47" s="513"/>
      <c r="BD47" s="513"/>
      <c r="BE47" s="513"/>
      <c r="BF47" s="513"/>
      <c r="BG47" s="514"/>
      <c r="BH47" s="185"/>
    </row>
    <row r="48" spans="2:60" ht="4.5" customHeight="1" x14ac:dyDescent="0.2">
      <c r="B48" s="520"/>
      <c r="C48" s="330"/>
      <c r="D48" s="330"/>
      <c r="E48" s="330"/>
      <c r="F48" s="330"/>
      <c r="G48" s="330"/>
      <c r="H48" s="330"/>
      <c r="I48" s="330"/>
      <c r="J48" s="330"/>
      <c r="K48" s="330"/>
      <c r="L48" s="330"/>
      <c r="M48" s="330"/>
      <c r="N48" s="331"/>
      <c r="O48" s="189"/>
      <c r="Q48" s="520"/>
      <c r="R48" s="330"/>
      <c r="S48" s="330"/>
      <c r="T48" s="330"/>
      <c r="U48" s="330"/>
      <c r="V48" s="330"/>
      <c r="W48" s="330"/>
      <c r="X48" s="330"/>
      <c r="Y48" s="330"/>
      <c r="Z48" s="330"/>
      <c r="AA48" s="330"/>
      <c r="AB48" s="330"/>
      <c r="AC48" s="331"/>
      <c r="AD48" s="189"/>
      <c r="AF48" s="520"/>
      <c r="AG48" s="330"/>
      <c r="AH48" s="330"/>
      <c r="AI48" s="330"/>
      <c r="AJ48" s="330"/>
      <c r="AK48" s="330"/>
      <c r="AL48" s="330"/>
      <c r="AM48" s="330"/>
      <c r="AN48" s="330"/>
      <c r="AO48" s="330"/>
      <c r="AP48" s="330"/>
      <c r="AQ48" s="330"/>
      <c r="AR48" s="331"/>
      <c r="AS48" s="189"/>
      <c r="AU48" s="520"/>
      <c r="AV48" s="330"/>
      <c r="AW48" s="330"/>
      <c r="AX48" s="330"/>
      <c r="AY48" s="330"/>
      <c r="AZ48" s="330"/>
      <c r="BA48" s="330"/>
      <c r="BB48" s="330"/>
      <c r="BC48" s="330"/>
      <c r="BD48" s="330"/>
      <c r="BE48" s="330"/>
      <c r="BF48" s="330"/>
      <c r="BG48" s="331"/>
      <c r="BH48" s="189"/>
    </row>
    <row r="49" spans="2:60" ht="11.25" customHeight="1" x14ac:dyDescent="0.2"/>
    <row r="50" spans="2:60" ht="4.5" customHeight="1" x14ac:dyDescent="0.2">
      <c r="B50" s="521" t="str">
        <f>IF(Roster!$A$9=0,"","#"&amp;Roster!$A$9)</f>
        <v>#8</v>
      </c>
      <c r="C50" s="167"/>
      <c r="D50" s="167"/>
      <c r="E50" s="167"/>
      <c r="F50" s="167"/>
      <c r="G50" s="167"/>
      <c r="H50" s="167"/>
      <c r="I50" s="167"/>
      <c r="J50" s="167"/>
      <c r="K50" s="167"/>
      <c r="L50" s="167"/>
      <c r="M50" s="167"/>
      <c r="N50" s="167"/>
      <c r="O50" s="168"/>
      <c r="Q50" s="521" t="str">
        <f>IF(Roster!$A$10=0,"","#"&amp;Roster!$A$10)</f>
        <v>#9</v>
      </c>
      <c r="R50" s="167"/>
      <c r="S50" s="167"/>
      <c r="T50" s="167"/>
      <c r="U50" s="167"/>
      <c r="V50" s="167"/>
      <c r="W50" s="167"/>
      <c r="X50" s="167"/>
      <c r="Y50" s="167"/>
      <c r="Z50" s="167"/>
      <c r="AA50" s="167"/>
      <c r="AB50" s="167"/>
      <c r="AC50" s="167"/>
      <c r="AD50" s="168"/>
      <c r="AF50" s="521" t="str">
        <f>IF(Roster!$A$11=0,"","#"&amp;Roster!$A$11)</f>
        <v>#10</v>
      </c>
      <c r="AG50" s="167"/>
      <c r="AH50" s="167"/>
      <c r="AI50" s="167"/>
      <c r="AJ50" s="167"/>
      <c r="AK50" s="167"/>
      <c r="AL50" s="167"/>
      <c r="AM50" s="167"/>
      <c r="AN50" s="167"/>
      <c r="AO50" s="167"/>
      <c r="AP50" s="167"/>
      <c r="AQ50" s="167"/>
      <c r="AR50" s="167"/>
      <c r="AS50" s="168"/>
      <c r="AU50" s="521" t="str">
        <f>IF(Roster!$A$12=0,"","#"&amp;Roster!$A$12)</f>
        <v>#11</v>
      </c>
      <c r="AV50" s="167"/>
      <c r="AW50" s="167"/>
      <c r="AX50" s="167"/>
      <c r="AY50" s="167"/>
      <c r="AZ50" s="167"/>
      <c r="BA50" s="167"/>
      <c r="BB50" s="167"/>
      <c r="BC50" s="167"/>
      <c r="BD50" s="167"/>
      <c r="BE50" s="167"/>
      <c r="BF50" s="167"/>
      <c r="BG50" s="167"/>
      <c r="BH50" s="168"/>
    </row>
    <row r="51" spans="2:60" ht="15" customHeight="1" x14ac:dyDescent="0.25">
      <c r="B51" s="522"/>
      <c r="C51" s="507" t="str">
        <f>IF(Roster!$B$9=0,"",Roster!$B$9)</f>
        <v>Gran Zhereale</v>
      </c>
      <c r="D51" s="296"/>
      <c r="E51" s="296"/>
      <c r="F51" s="296"/>
      <c r="G51" s="296"/>
      <c r="H51" s="296"/>
      <c r="I51" s="296"/>
      <c r="J51" s="296"/>
      <c r="K51" s="296"/>
      <c r="L51" s="296"/>
      <c r="M51" s="296"/>
      <c r="N51" s="297"/>
      <c r="O51" s="169"/>
      <c r="Q51" s="522"/>
      <c r="R51" s="507" t="str">
        <f>IF(Roster!$B$10=0,"",Roster!$B$10)</f>
        <v>Honey Loopz</v>
      </c>
      <c r="S51" s="296"/>
      <c r="T51" s="296"/>
      <c r="U51" s="296"/>
      <c r="V51" s="296"/>
      <c r="W51" s="296"/>
      <c r="X51" s="296"/>
      <c r="Y51" s="296"/>
      <c r="Z51" s="296"/>
      <c r="AA51" s="296"/>
      <c r="AB51" s="296"/>
      <c r="AC51" s="297"/>
      <c r="AD51" s="169"/>
      <c r="AF51" s="522"/>
      <c r="AG51" s="507" t="str">
        <f>IF(Roster!$B$11=0,"",Roster!$B$11)</f>
        <v>Ciocork Krave</v>
      </c>
      <c r="AH51" s="296"/>
      <c r="AI51" s="296"/>
      <c r="AJ51" s="296"/>
      <c r="AK51" s="296"/>
      <c r="AL51" s="296"/>
      <c r="AM51" s="296"/>
      <c r="AN51" s="296"/>
      <c r="AO51" s="296"/>
      <c r="AP51" s="296"/>
      <c r="AQ51" s="296"/>
      <c r="AR51" s="297"/>
      <c r="AS51" s="169"/>
      <c r="AU51" s="522"/>
      <c r="AV51" s="507" t="str">
        <f>IF(Roster!$B$12=0,"",Roster!$B$12)</f>
        <v>Vitaliz</v>
      </c>
      <c r="AW51" s="296"/>
      <c r="AX51" s="296"/>
      <c r="AY51" s="296"/>
      <c r="AZ51" s="296"/>
      <c r="BA51" s="296"/>
      <c r="BB51" s="296"/>
      <c r="BC51" s="296"/>
      <c r="BD51" s="296"/>
      <c r="BE51" s="296"/>
      <c r="BF51" s="296"/>
      <c r="BG51" s="297"/>
      <c r="BH51" s="169"/>
    </row>
    <row r="52" spans="2:60" ht="11.25" customHeight="1" x14ac:dyDescent="0.2">
      <c r="B52" s="523"/>
      <c r="C52" s="524" t="str">
        <f>IF(Roster!$D$9=0,"",Roster!$D$9)</f>
        <v>Goblin Bruiser</v>
      </c>
      <c r="D52" s="296"/>
      <c r="E52" s="296"/>
      <c r="F52" s="296"/>
      <c r="G52" s="296"/>
      <c r="H52" s="296"/>
      <c r="I52" s="296"/>
      <c r="J52" s="296"/>
      <c r="K52" s="296"/>
      <c r="L52" s="296"/>
      <c r="M52" s="296"/>
      <c r="N52" s="297"/>
      <c r="O52" s="170"/>
      <c r="Q52" s="523"/>
      <c r="R52" s="524" t="str">
        <f>IF(Roster!$D$10=0,"",Roster!$D$10)</f>
        <v>Goblin Bruiser</v>
      </c>
      <c r="S52" s="296"/>
      <c r="T52" s="296"/>
      <c r="U52" s="296"/>
      <c r="V52" s="296"/>
      <c r="W52" s="296"/>
      <c r="X52" s="296"/>
      <c r="Y52" s="296"/>
      <c r="Z52" s="296"/>
      <c r="AA52" s="296"/>
      <c r="AB52" s="296"/>
      <c r="AC52" s="297"/>
      <c r="AD52" s="170"/>
      <c r="AF52" s="523"/>
      <c r="AG52" s="524" t="str">
        <f>IF(Roster!$D$11=0,"",Roster!$D$11)</f>
        <v>Goblin Bruiser</v>
      </c>
      <c r="AH52" s="296"/>
      <c r="AI52" s="296"/>
      <c r="AJ52" s="296"/>
      <c r="AK52" s="296"/>
      <c r="AL52" s="296"/>
      <c r="AM52" s="296"/>
      <c r="AN52" s="296"/>
      <c r="AO52" s="296"/>
      <c r="AP52" s="296"/>
      <c r="AQ52" s="296"/>
      <c r="AR52" s="297"/>
      <c r="AS52" s="170"/>
      <c r="AU52" s="523"/>
      <c r="AV52" s="524" t="str">
        <f>IF(Roster!$D$12=0,"",Roster!$D$12)</f>
        <v>Goblin Bruiser</v>
      </c>
      <c r="AW52" s="296"/>
      <c r="AX52" s="296"/>
      <c r="AY52" s="296"/>
      <c r="AZ52" s="296"/>
      <c r="BA52" s="296"/>
      <c r="BB52" s="296"/>
      <c r="BC52" s="296"/>
      <c r="BD52" s="296"/>
      <c r="BE52" s="296"/>
      <c r="BF52" s="296"/>
      <c r="BG52" s="297"/>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25"/>
      <c r="E54" s="526"/>
      <c r="F54" s="526"/>
      <c r="G54" s="526"/>
      <c r="H54" s="526"/>
      <c r="I54" s="526"/>
      <c r="J54" s="526"/>
      <c r="K54" s="526"/>
      <c r="L54" s="526"/>
      <c r="M54" s="526"/>
      <c r="N54" s="527"/>
      <c r="O54" s="169"/>
      <c r="Q54" s="176">
        <f>IF(Roster!$K$10=0,"",Roster!$K$10)</f>
        <v>6</v>
      </c>
      <c r="R54" s="174"/>
      <c r="S54" s="525"/>
      <c r="T54" s="526"/>
      <c r="U54" s="526"/>
      <c r="V54" s="526"/>
      <c r="W54" s="526"/>
      <c r="X54" s="526"/>
      <c r="Y54" s="526"/>
      <c r="Z54" s="526"/>
      <c r="AA54" s="526"/>
      <c r="AB54" s="526"/>
      <c r="AC54" s="527"/>
      <c r="AD54" s="169"/>
      <c r="AF54" s="176">
        <f>IF(Roster!$K$11=0,"",Roster!$K$11)</f>
        <v>6</v>
      </c>
      <c r="AG54" s="174"/>
      <c r="AH54" s="525"/>
      <c r="AI54" s="526"/>
      <c r="AJ54" s="526"/>
      <c r="AK54" s="526"/>
      <c r="AL54" s="526"/>
      <c r="AM54" s="526"/>
      <c r="AN54" s="526"/>
      <c r="AO54" s="526"/>
      <c r="AP54" s="526"/>
      <c r="AQ54" s="526"/>
      <c r="AR54" s="527"/>
      <c r="AS54" s="169"/>
      <c r="AU54" s="176">
        <f>IF(Roster!$K$12=0,"",Roster!$K$12)</f>
        <v>6</v>
      </c>
      <c r="AV54" s="174"/>
      <c r="AW54" s="525"/>
      <c r="AX54" s="526"/>
      <c r="AY54" s="526"/>
      <c r="AZ54" s="526"/>
      <c r="BA54" s="526"/>
      <c r="BB54" s="526"/>
      <c r="BC54" s="526"/>
      <c r="BD54" s="526"/>
      <c r="BE54" s="526"/>
      <c r="BF54" s="526"/>
      <c r="BG54" s="527"/>
      <c r="BH54" s="169"/>
    </row>
    <row r="55" spans="2:60" ht="11.25" customHeight="1" x14ac:dyDescent="0.2">
      <c r="B55" s="173" t="str">
        <f>IF(Roster!$L$1=0,"",Roster!$L$1)</f>
        <v>ST</v>
      </c>
      <c r="C55" s="174"/>
      <c r="D55" s="528"/>
      <c r="E55" s="529"/>
      <c r="F55" s="529"/>
      <c r="G55" s="529"/>
      <c r="H55" s="529"/>
      <c r="I55" s="529"/>
      <c r="J55" s="529"/>
      <c r="K55" s="529"/>
      <c r="L55" s="529"/>
      <c r="M55" s="529"/>
      <c r="N55" s="530"/>
      <c r="O55" s="169"/>
      <c r="Q55" s="173" t="str">
        <f>IF(Roster!$L$1=0,"",Roster!$L$1)</f>
        <v>ST</v>
      </c>
      <c r="R55" s="174"/>
      <c r="S55" s="528"/>
      <c r="T55" s="529"/>
      <c r="U55" s="529"/>
      <c r="V55" s="529"/>
      <c r="W55" s="529"/>
      <c r="X55" s="529"/>
      <c r="Y55" s="529"/>
      <c r="Z55" s="529"/>
      <c r="AA55" s="529"/>
      <c r="AB55" s="529"/>
      <c r="AC55" s="530"/>
      <c r="AD55" s="169"/>
      <c r="AF55" s="173" t="str">
        <f>IF(Roster!$L$1=0,"",Roster!$L$1)</f>
        <v>ST</v>
      </c>
      <c r="AG55" s="174"/>
      <c r="AH55" s="528"/>
      <c r="AI55" s="529"/>
      <c r="AJ55" s="529"/>
      <c r="AK55" s="529"/>
      <c r="AL55" s="529"/>
      <c r="AM55" s="529"/>
      <c r="AN55" s="529"/>
      <c r="AO55" s="529"/>
      <c r="AP55" s="529"/>
      <c r="AQ55" s="529"/>
      <c r="AR55" s="530"/>
      <c r="AS55" s="169"/>
      <c r="AU55" s="173" t="str">
        <f>IF(Roster!$L$1=0,"",Roster!$L$1)</f>
        <v>ST</v>
      </c>
      <c r="AV55" s="174"/>
      <c r="AW55" s="528"/>
      <c r="AX55" s="529"/>
      <c r="AY55" s="529"/>
      <c r="AZ55" s="529"/>
      <c r="BA55" s="529"/>
      <c r="BB55" s="529"/>
      <c r="BC55" s="529"/>
      <c r="BD55" s="529"/>
      <c r="BE55" s="529"/>
      <c r="BF55" s="529"/>
      <c r="BG55" s="530"/>
      <c r="BH55" s="169"/>
    </row>
    <row r="56" spans="2:60" ht="37.5" customHeight="1" x14ac:dyDescent="0.2">
      <c r="B56" s="176">
        <f>IF(Roster!$L$9=0,"",Roster!$L$9)</f>
        <v>2</v>
      </c>
      <c r="C56" s="174"/>
      <c r="D56" s="528"/>
      <c r="E56" s="529"/>
      <c r="F56" s="529"/>
      <c r="G56" s="529"/>
      <c r="H56" s="529"/>
      <c r="I56" s="529"/>
      <c r="J56" s="529"/>
      <c r="K56" s="529"/>
      <c r="L56" s="529"/>
      <c r="M56" s="529"/>
      <c r="N56" s="530"/>
      <c r="O56" s="169"/>
      <c r="Q56" s="176">
        <f>IF(Roster!$L$10=0,"",Roster!$L$10)</f>
        <v>2</v>
      </c>
      <c r="R56" s="174"/>
      <c r="S56" s="528"/>
      <c r="T56" s="529"/>
      <c r="U56" s="529"/>
      <c r="V56" s="529"/>
      <c r="W56" s="529"/>
      <c r="X56" s="529"/>
      <c r="Y56" s="529"/>
      <c r="Z56" s="529"/>
      <c r="AA56" s="529"/>
      <c r="AB56" s="529"/>
      <c r="AC56" s="530"/>
      <c r="AD56" s="169"/>
      <c r="AF56" s="176">
        <f>IF(Roster!$L$11=0,"",Roster!$L$11)</f>
        <v>2</v>
      </c>
      <c r="AG56" s="174"/>
      <c r="AH56" s="528"/>
      <c r="AI56" s="529"/>
      <c r="AJ56" s="529"/>
      <c r="AK56" s="529"/>
      <c r="AL56" s="529"/>
      <c r="AM56" s="529"/>
      <c r="AN56" s="529"/>
      <c r="AO56" s="529"/>
      <c r="AP56" s="529"/>
      <c r="AQ56" s="529"/>
      <c r="AR56" s="530"/>
      <c r="AS56" s="169"/>
      <c r="AU56" s="176">
        <f>IF(Roster!$L$12=0,"",Roster!$L$12)</f>
        <v>2</v>
      </c>
      <c r="AV56" s="174"/>
      <c r="AW56" s="528"/>
      <c r="AX56" s="529"/>
      <c r="AY56" s="529"/>
      <c r="AZ56" s="529"/>
      <c r="BA56" s="529"/>
      <c r="BB56" s="529"/>
      <c r="BC56" s="529"/>
      <c r="BD56" s="529"/>
      <c r="BE56" s="529"/>
      <c r="BF56" s="529"/>
      <c r="BG56" s="530"/>
      <c r="BH56" s="169"/>
    </row>
    <row r="57" spans="2:60" ht="11.25" customHeight="1" x14ac:dyDescent="0.2">
      <c r="B57" s="173" t="str">
        <f>IF(Roster!$M$1=0,"",Roster!$M$1)</f>
        <v>AG</v>
      </c>
      <c r="C57" s="174"/>
      <c r="D57" s="528"/>
      <c r="E57" s="529"/>
      <c r="F57" s="529"/>
      <c r="G57" s="529"/>
      <c r="H57" s="529"/>
      <c r="I57" s="529"/>
      <c r="J57" s="529"/>
      <c r="K57" s="529"/>
      <c r="L57" s="529"/>
      <c r="M57" s="529"/>
      <c r="N57" s="530"/>
      <c r="O57" s="169"/>
      <c r="Q57" s="173" t="str">
        <f>IF(Roster!$M$1=0,"",Roster!$M$1)</f>
        <v>AG</v>
      </c>
      <c r="R57" s="174"/>
      <c r="S57" s="528"/>
      <c r="T57" s="529"/>
      <c r="U57" s="529"/>
      <c r="V57" s="529"/>
      <c r="W57" s="529"/>
      <c r="X57" s="529"/>
      <c r="Y57" s="529"/>
      <c r="Z57" s="529"/>
      <c r="AA57" s="529"/>
      <c r="AB57" s="529"/>
      <c r="AC57" s="530"/>
      <c r="AD57" s="169"/>
      <c r="AF57" s="173" t="str">
        <f>IF(Roster!$M$1=0,"",Roster!$M$1)</f>
        <v>AG</v>
      </c>
      <c r="AG57" s="174"/>
      <c r="AH57" s="528"/>
      <c r="AI57" s="529"/>
      <c r="AJ57" s="529"/>
      <c r="AK57" s="529"/>
      <c r="AL57" s="529"/>
      <c r="AM57" s="529"/>
      <c r="AN57" s="529"/>
      <c r="AO57" s="529"/>
      <c r="AP57" s="529"/>
      <c r="AQ57" s="529"/>
      <c r="AR57" s="530"/>
      <c r="AS57" s="169"/>
      <c r="AU57" s="173" t="str">
        <f>IF(Roster!$M$1=0,"",Roster!$M$1)</f>
        <v>AG</v>
      </c>
      <c r="AV57" s="174"/>
      <c r="AW57" s="528"/>
      <c r="AX57" s="529"/>
      <c r="AY57" s="529"/>
      <c r="AZ57" s="529"/>
      <c r="BA57" s="529"/>
      <c r="BB57" s="529"/>
      <c r="BC57" s="529"/>
      <c r="BD57" s="529"/>
      <c r="BE57" s="529"/>
      <c r="BF57" s="529"/>
      <c r="BG57" s="530"/>
      <c r="BH57" s="169"/>
    </row>
    <row r="58" spans="2:60" ht="37.5" customHeight="1" x14ac:dyDescent="0.2">
      <c r="B58" s="176" t="str">
        <f>IF(Roster!$M$9=0&amp;"+","",Roster!$M$9)</f>
        <v>3+</v>
      </c>
      <c r="C58" s="174"/>
      <c r="D58" s="528"/>
      <c r="E58" s="529"/>
      <c r="F58" s="529"/>
      <c r="G58" s="529"/>
      <c r="H58" s="529"/>
      <c r="I58" s="529"/>
      <c r="J58" s="529"/>
      <c r="K58" s="529"/>
      <c r="L58" s="529"/>
      <c r="M58" s="529"/>
      <c r="N58" s="530"/>
      <c r="O58" s="169"/>
      <c r="Q58" s="176" t="str">
        <f>IF(Roster!$M$10=0&amp;"+","",Roster!$M$10)</f>
        <v>3+</v>
      </c>
      <c r="R58" s="174"/>
      <c r="S58" s="528"/>
      <c r="T58" s="529"/>
      <c r="U58" s="529"/>
      <c r="V58" s="529"/>
      <c r="W58" s="529"/>
      <c r="X58" s="529"/>
      <c r="Y58" s="529"/>
      <c r="Z58" s="529"/>
      <c r="AA58" s="529"/>
      <c r="AB58" s="529"/>
      <c r="AC58" s="530"/>
      <c r="AD58" s="169"/>
      <c r="AF58" s="176" t="str">
        <f>IF(Roster!$M$11=0&amp;"+","",Roster!$M$11)</f>
        <v>3+</v>
      </c>
      <c r="AG58" s="174"/>
      <c r="AH58" s="528"/>
      <c r="AI58" s="529"/>
      <c r="AJ58" s="529"/>
      <c r="AK58" s="529"/>
      <c r="AL58" s="529"/>
      <c r="AM58" s="529"/>
      <c r="AN58" s="529"/>
      <c r="AO58" s="529"/>
      <c r="AP58" s="529"/>
      <c r="AQ58" s="529"/>
      <c r="AR58" s="530"/>
      <c r="AS58" s="169"/>
      <c r="AU58" s="176" t="str">
        <f>IF(Roster!$M$12=0&amp;"+","",Roster!$M$12)</f>
        <v>3+</v>
      </c>
      <c r="AV58" s="174"/>
      <c r="AW58" s="528"/>
      <c r="AX58" s="529"/>
      <c r="AY58" s="529"/>
      <c r="AZ58" s="529"/>
      <c r="BA58" s="529"/>
      <c r="BB58" s="529"/>
      <c r="BC58" s="529"/>
      <c r="BD58" s="529"/>
      <c r="BE58" s="529"/>
      <c r="BF58" s="529"/>
      <c r="BG58" s="530"/>
      <c r="BH58" s="169"/>
    </row>
    <row r="59" spans="2:60" ht="11.25" customHeight="1" x14ac:dyDescent="0.2">
      <c r="B59" s="173" t="str">
        <f>IF(Roster!$N$1=0,"",Roster!$N$1)</f>
        <v>PA</v>
      </c>
      <c r="C59" s="174"/>
      <c r="D59" s="528"/>
      <c r="E59" s="529"/>
      <c r="F59" s="529"/>
      <c r="G59" s="529"/>
      <c r="H59" s="529"/>
      <c r="I59" s="529"/>
      <c r="J59" s="529"/>
      <c r="K59" s="529"/>
      <c r="L59" s="529"/>
      <c r="M59" s="529"/>
      <c r="N59" s="530"/>
      <c r="O59" s="178"/>
      <c r="Q59" s="173" t="str">
        <f>IF(Roster!$N$1=0,"",Roster!$N$1)</f>
        <v>PA</v>
      </c>
      <c r="R59" s="174"/>
      <c r="S59" s="528"/>
      <c r="T59" s="529"/>
      <c r="U59" s="529"/>
      <c r="V59" s="529"/>
      <c r="W59" s="529"/>
      <c r="X59" s="529"/>
      <c r="Y59" s="529"/>
      <c r="Z59" s="529"/>
      <c r="AA59" s="529"/>
      <c r="AB59" s="529"/>
      <c r="AC59" s="530"/>
      <c r="AD59" s="178"/>
      <c r="AF59" s="173" t="str">
        <f>IF(Roster!$N$1=0,"",Roster!$N$1)</f>
        <v>PA</v>
      </c>
      <c r="AG59" s="174"/>
      <c r="AH59" s="528"/>
      <c r="AI59" s="529"/>
      <c r="AJ59" s="529"/>
      <c r="AK59" s="529"/>
      <c r="AL59" s="529"/>
      <c r="AM59" s="529"/>
      <c r="AN59" s="529"/>
      <c r="AO59" s="529"/>
      <c r="AP59" s="529"/>
      <c r="AQ59" s="529"/>
      <c r="AR59" s="530"/>
      <c r="AS59" s="178"/>
      <c r="AU59" s="173" t="str">
        <f>IF(Roster!$N$1=0,"",Roster!$N$1)</f>
        <v>PA</v>
      </c>
      <c r="AV59" s="174"/>
      <c r="AW59" s="528"/>
      <c r="AX59" s="529"/>
      <c r="AY59" s="529"/>
      <c r="AZ59" s="529"/>
      <c r="BA59" s="529"/>
      <c r="BB59" s="529"/>
      <c r="BC59" s="529"/>
      <c r="BD59" s="529"/>
      <c r="BE59" s="529"/>
      <c r="BF59" s="529"/>
      <c r="BG59" s="530"/>
      <c r="BH59" s="178"/>
    </row>
    <row r="60" spans="2:60" ht="6" customHeight="1" x14ac:dyDescent="0.2">
      <c r="B60" s="518" t="str">
        <f>IF(Roster!$N$9=0&amp;"+","",Roster!$N$9)</f>
        <v>4+</v>
      </c>
      <c r="C60" s="174"/>
      <c r="D60" s="531"/>
      <c r="E60" s="532"/>
      <c r="F60" s="532"/>
      <c r="G60" s="532"/>
      <c r="H60" s="532"/>
      <c r="I60" s="532"/>
      <c r="J60" s="532"/>
      <c r="K60" s="532"/>
      <c r="L60" s="532"/>
      <c r="M60" s="532"/>
      <c r="N60" s="533"/>
      <c r="O60" s="180"/>
      <c r="Q60" s="518" t="str">
        <f>IF(Roster!$N$10=0&amp;"+","",Roster!$N$10)</f>
        <v>4+</v>
      </c>
      <c r="R60" s="174"/>
      <c r="S60" s="531"/>
      <c r="T60" s="532"/>
      <c r="U60" s="532"/>
      <c r="V60" s="532"/>
      <c r="W60" s="532"/>
      <c r="X60" s="532"/>
      <c r="Y60" s="532"/>
      <c r="Z60" s="532"/>
      <c r="AA60" s="532"/>
      <c r="AB60" s="532"/>
      <c r="AC60" s="533"/>
      <c r="AD60" s="180"/>
      <c r="AF60" s="518" t="str">
        <f>IF(Roster!$N$11=0&amp;"+","",Roster!$N$11)</f>
        <v>4+</v>
      </c>
      <c r="AG60" s="174"/>
      <c r="AH60" s="531"/>
      <c r="AI60" s="532"/>
      <c r="AJ60" s="532"/>
      <c r="AK60" s="532"/>
      <c r="AL60" s="532"/>
      <c r="AM60" s="532"/>
      <c r="AN60" s="532"/>
      <c r="AO60" s="532"/>
      <c r="AP60" s="532"/>
      <c r="AQ60" s="532"/>
      <c r="AR60" s="533"/>
      <c r="AS60" s="180"/>
      <c r="AU60" s="518" t="str">
        <f>IF(Roster!$N$12=0&amp;"+","",Roster!$N$12)</f>
        <v>4+</v>
      </c>
      <c r="AV60" s="174"/>
      <c r="AW60" s="531"/>
      <c r="AX60" s="532"/>
      <c r="AY60" s="532"/>
      <c r="AZ60" s="532"/>
      <c r="BA60" s="532"/>
      <c r="BB60" s="532"/>
      <c r="BC60" s="532"/>
      <c r="BD60" s="532"/>
      <c r="BE60" s="532"/>
      <c r="BF60" s="532"/>
      <c r="BG60" s="533"/>
      <c r="BH60" s="180"/>
    </row>
    <row r="61" spans="2:60" ht="4.5" customHeight="1" x14ac:dyDescent="0.2">
      <c r="B61" s="519"/>
      <c r="C61" s="172"/>
      <c r="D61" s="181"/>
      <c r="E61" s="179"/>
      <c r="F61" s="181"/>
      <c r="G61" s="179"/>
      <c r="H61" s="181"/>
      <c r="I61" s="179"/>
      <c r="J61" s="181"/>
      <c r="K61" s="179"/>
      <c r="L61" s="181"/>
      <c r="M61" s="179"/>
      <c r="N61" s="181"/>
      <c r="O61" s="180"/>
      <c r="Q61" s="519"/>
      <c r="R61" s="172"/>
      <c r="S61" s="181"/>
      <c r="T61" s="179"/>
      <c r="U61" s="181"/>
      <c r="V61" s="179"/>
      <c r="W61" s="181"/>
      <c r="X61" s="179"/>
      <c r="Y61" s="181"/>
      <c r="Z61" s="179"/>
      <c r="AA61" s="181"/>
      <c r="AB61" s="179"/>
      <c r="AC61" s="181"/>
      <c r="AD61" s="180"/>
      <c r="AF61" s="519"/>
      <c r="AG61" s="172"/>
      <c r="AH61" s="181"/>
      <c r="AI61" s="179"/>
      <c r="AJ61" s="181"/>
      <c r="AK61" s="179"/>
      <c r="AL61" s="181"/>
      <c r="AM61" s="179"/>
      <c r="AN61" s="181"/>
      <c r="AO61" s="179"/>
      <c r="AP61" s="181"/>
      <c r="AQ61" s="179"/>
      <c r="AR61" s="181"/>
      <c r="AS61" s="180"/>
      <c r="AU61" s="519"/>
      <c r="AV61" s="172"/>
      <c r="AW61" s="181"/>
      <c r="AX61" s="179"/>
      <c r="AY61" s="181"/>
      <c r="AZ61" s="179"/>
      <c r="BA61" s="181"/>
      <c r="BB61" s="179"/>
      <c r="BC61" s="181"/>
      <c r="BD61" s="179"/>
      <c r="BE61" s="181"/>
      <c r="BF61" s="179"/>
      <c r="BG61" s="181"/>
      <c r="BH61" s="180"/>
    </row>
    <row r="62" spans="2:60" ht="11.25" customHeight="1" x14ac:dyDescent="0.2">
      <c r="B62" s="519"/>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19"/>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19"/>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19"/>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19"/>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19"/>
      <c r="R63" s="175"/>
      <c r="S63" s="212">
        <f>IF(Roster!$AD$10=0,"",Roster!$AD$10)</f>
        <v>1</v>
      </c>
      <c r="T63" s="207"/>
      <c r="U63" s="212" t="str">
        <f>IF((SUM(W63,Y63,AA63))=0,"",(SUM(W63,Y63,AA63)))</f>
        <v/>
      </c>
      <c r="V63" s="207"/>
      <c r="W63" s="212" t="str">
        <f>IF(Roster!$AG$10=0,"",Roster!$AG$10)</f>
        <v/>
      </c>
      <c r="X63" s="207"/>
      <c r="Y63" s="212" t="str">
        <f>IF(Roster!$AH$10=0,"",Roster!$AH$10)</f>
        <v/>
      </c>
      <c r="Z63" s="207"/>
      <c r="AA63" s="212" t="str">
        <f>IF(Roster!$AI$10=0,"",Roster!$AI$10)</f>
        <v/>
      </c>
      <c r="AB63" s="207"/>
      <c r="AC63" s="212">
        <f>IF(Roster!$AC$10=0,"",Roster!$AC$10)</f>
        <v>1</v>
      </c>
      <c r="AD63" s="180"/>
      <c r="AF63" s="519"/>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19"/>
      <c r="AV63" s="175"/>
      <c r="AW63" s="212">
        <f>IF(Roster!$AD$12=0,"",Roster!$AD$12)</f>
        <v>1</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3"/>
      <c r="C64" s="175"/>
      <c r="D64" s="208"/>
      <c r="E64" s="207"/>
      <c r="F64" s="208"/>
      <c r="G64" s="207"/>
      <c r="H64" s="208"/>
      <c r="I64" s="207"/>
      <c r="J64" s="208"/>
      <c r="K64" s="207"/>
      <c r="L64" s="208"/>
      <c r="M64" s="207"/>
      <c r="N64" s="208"/>
      <c r="O64" s="180"/>
      <c r="Q64" s="403"/>
      <c r="R64" s="175"/>
      <c r="S64" s="208"/>
      <c r="T64" s="207"/>
      <c r="U64" s="208"/>
      <c r="V64" s="207"/>
      <c r="W64" s="208"/>
      <c r="X64" s="207"/>
      <c r="Y64" s="208"/>
      <c r="Z64" s="207"/>
      <c r="AA64" s="208"/>
      <c r="AB64" s="207"/>
      <c r="AC64" s="208"/>
      <c r="AD64" s="180"/>
      <c r="AF64" s="403"/>
      <c r="AG64" s="175"/>
      <c r="AH64" s="208"/>
      <c r="AI64" s="207"/>
      <c r="AJ64" s="208"/>
      <c r="AK64" s="207"/>
      <c r="AL64" s="208"/>
      <c r="AM64" s="207"/>
      <c r="AN64" s="208"/>
      <c r="AO64" s="207"/>
      <c r="AP64" s="208"/>
      <c r="AQ64" s="207"/>
      <c r="AR64" s="208"/>
      <c r="AS64" s="180"/>
      <c r="AU64" s="403"/>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18"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18"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4</v>
      </c>
      <c r="AB66" s="207"/>
      <c r="AC66" s="212" t="str">
        <f>IF(Roster!$AA$10=0,"",Roster!$AA$10)</f>
        <v/>
      </c>
      <c r="AD66" s="182"/>
      <c r="AF66" s="518"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18"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f>IF(Roster!$AK$12=0,"",Roster!$AK$12)</f>
        <v>3</v>
      </c>
      <c r="BF66" s="207"/>
      <c r="BG66" s="212" t="str">
        <f>IF(Roster!$AA$12=0,"",Roster!$AA$12)</f>
        <v/>
      </c>
      <c r="BH66" s="182"/>
    </row>
    <row r="67" spans="2:60" ht="4.5" customHeight="1" x14ac:dyDescent="0.2">
      <c r="B67" s="519"/>
      <c r="C67" s="175"/>
      <c r="D67" s="207"/>
      <c r="E67" s="207"/>
      <c r="F67" s="207"/>
      <c r="G67" s="207"/>
      <c r="H67" s="207"/>
      <c r="I67" s="207"/>
      <c r="J67" s="207"/>
      <c r="K67" s="207"/>
      <c r="L67" s="207"/>
      <c r="M67" s="207"/>
      <c r="N67" s="210"/>
      <c r="O67" s="182"/>
      <c r="Q67" s="519"/>
      <c r="R67" s="175"/>
      <c r="S67" s="207"/>
      <c r="T67" s="207"/>
      <c r="U67" s="207"/>
      <c r="V67" s="207"/>
      <c r="W67" s="207"/>
      <c r="X67" s="207"/>
      <c r="Y67" s="207"/>
      <c r="Z67" s="207"/>
      <c r="AA67" s="207"/>
      <c r="AB67" s="207"/>
      <c r="AC67" s="210"/>
      <c r="AD67" s="182"/>
      <c r="AF67" s="519"/>
      <c r="AG67" s="175"/>
      <c r="AH67" s="207"/>
      <c r="AI67" s="207"/>
      <c r="AJ67" s="207"/>
      <c r="AK67" s="207"/>
      <c r="AL67" s="207"/>
      <c r="AM67" s="207"/>
      <c r="AN67" s="207"/>
      <c r="AO67" s="207"/>
      <c r="AP67" s="207"/>
      <c r="AQ67" s="207"/>
      <c r="AR67" s="210"/>
      <c r="AS67" s="182"/>
      <c r="AU67" s="519"/>
      <c r="AV67" s="175"/>
      <c r="AW67" s="207"/>
      <c r="AX67" s="207"/>
      <c r="AY67" s="207"/>
      <c r="AZ67" s="207"/>
      <c r="BA67" s="207"/>
      <c r="BB67" s="207"/>
      <c r="BC67" s="207"/>
      <c r="BD67" s="207"/>
      <c r="BE67" s="207"/>
      <c r="BF67" s="207"/>
      <c r="BG67" s="210"/>
      <c r="BH67" s="182"/>
    </row>
    <row r="68" spans="2:60" ht="11.25" customHeight="1" x14ac:dyDescent="0.2">
      <c r="B68" s="519"/>
      <c r="C68" s="175"/>
      <c r="D68" s="515" t="str">
        <f>IF(Roster!$K$25="Italiano","ABILITÀ &amp; TRATTI",(IF(Roster!$K$25="Español","HABILIDADES Y RASGOS","SKILLS &amp; TRAITS")))</f>
        <v>SKILLS &amp; TRAITS</v>
      </c>
      <c r="E68" s="516"/>
      <c r="F68" s="516"/>
      <c r="G68" s="516"/>
      <c r="H68" s="516"/>
      <c r="I68" s="516"/>
      <c r="J68" s="516"/>
      <c r="K68" s="516"/>
      <c r="L68" s="516"/>
      <c r="M68" s="516"/>
      <c r="N68" s="517"/>
      <c r="O68" s="182"/>
      <c r="Q68" s="519"/>
      <c r="R68" s="175"/>
      <c r="S68" s="515" t="str">
        <f>IF(Roster!$K$25="Italiano","ABILITÀ &amp; TRATTI",(IF(Roster!$K$25="Español","HABILIDADES Y RASGOS","SKILLS &amp; TRAITS")))</f>
        <v>SKILLS &amp; TRAITS</v>
      </c>
      <c r="T68" s="516"/>
      <c r="U68" s="516"/>
      <c r="V68" s="516"/>
      <c r="W68" s="516"/>
      <c r="X68" s="516"/>
      <c r="Y68" s="516"/>
      <c r="Z68" s="516"/>
      <c r="AA68" s="516"/>
      <c r="AB68" s="516"/>
      <c r="AC68" s="517"/>
      <c r="AD68" s="182"/>
      <c r="AF68" s="519"/>
      <c r="AG68" s="175"/>
      <c r="AH68" s="515" t="str">
        <f>IF(Roster!$K$25="Italiano","ABILITÀ &amp; TRATTI",(IF(Roster!$K$25="Español","HABILIDADES Y RASGOS","SKILLS &amp; TRAITS")))</f>
        <v>SKILLS &amp; TRAITS</v>
      </c>
      <c r="AI68" s="516"/>
      <c r="AJ68" s="516"/>
      <c r="AK68" s="516"/>
      <c r="AL68" s="516"/>
      <c r="AM68" s="516"/>
      <c r="AN68" s="516"/>
      <c r="AO68" s="516"/>
      <c r="AP68" s="516"/>
      <c r="AQ68" s="516"/>
      <c r="AR68" s="517"/>
      <c r="AS68" s="182"/>
      <c r="AU68" s="519"/>
      <c r="AV68" s="175"/>
      <c r="AW68" s="515" t="str">
        <f>IF(Roster!$K$25="Italiano","ABILITÀ &amp; TRATTI",(IF(Roster!$K$25="Español","HABILIDADES Y RASGOS","SKILLS &amp; TRAITS")))</f>
        <v>SKILLS &amp; TRAITS</v>
      </c>
      <c r="AX68" s="516"/>
      <c r="AY68" s="516"/>
      <c r="AZ68" s="516"/>
      <c r="BA68" s="516"/>
      <c r="BB68" s="516"/>
      <c r="BC68" s="516"/>
      <c r="BD68" s="516"/>
      <c r="BE68" s="516"/>
      <c r="BF68" s="516"/>
      <c r="BG68" s="517"/>
      <c r="BH68" s="182"/>
    </row>
    <row r="69" spans="2:60" ht="6.75" customHeight="1" x14ac:dyDescent="0.2">
      <c r="B69" s="403"/>
      <c r="C69" s="175"/>
      <c r="D69" s="508" t="str">
        <f>IF(Roster!$P$9=0&amp;AQ50,"",Roster!$P$9)</f>
        <v>Dodge, Right Stuff, Stunty, Thick Skull - 1 NI</v>
      </c>
      <c r="E69" s="488"/>
      <c r="F69" s="488"/>
      <c r="G69" s="488"/>
      <c r="H69" s="488"/>
      <c r="I69" s="488"/>
      <c r="J69" s="488"/>
      <c r="K69" s="488"/>
      <c r="L69" s="488"/>
      <c r="M69" s="488"/>
      <c r="N69" s="509"/>
      <c r="O69" s="182"/>
      <c r="Q69" s="403"/>
      <c r="R69" s="175"/>
      <c r="S69" s="508" t="str">
        <f>IF(Roster!$P$10=0&amp;BF50,"",Roster!$P$10)</f>
        <v>Dodge, Right Stuff, Stunty, Thick Skull, Jump Up</v>
      </c>
      <c r="T69" s="488"/>
      <c r="U69" s="488"/>
      <c r="V69" s="488"/>
      <c r="W69" s="488"/>
      <c r="X69" s="488"/>
      <c r="Y69" s="488"/>
      <c r="Z69" s="488"/>
      <c r="AA69" s="488"/>
      <c r="AB69" s="488"/>
      <c r="AC69" s="509"/>
      <c r="AD69" s="182"/>
      <c r="AF69" s="403"/>
      <c r="AG69" s="175"/>
      <c r="AH69" s="508" t="str">
        <f>IF(Roster!$P$11=0&amp;BU50,"",Roster!$P$11)</f>
        <v>Dodge, Right Stuff, Stunty, Thick Skull</v>
      </c>
      <c r="AI69" s="488"/>
      <c r="AJ69" s="488"/>
      <c r="AK69" s="488"/>
      <c r="AL69" s="488"/>
      <c r="AM69" s="488"/>
      <c r="AN69" s="488"/>
      <c r="AO69" s="488"/>
      <c r="AP69" s="488"/>
      <c r="AQ69" s="488"/>
      <c r="AR69" s="509"/>
      <c r="AS69" s="182"/>
      <c r="AU69" s="403"/>
      <c r="AV69" s="175"/>
      <c r="AW69" s="508" t="str">
        <f>IF(Roster!$P$12=0&amp;CJ50,"",Roster!$P$12)</f>
        <v>Dodge, Right Stuff, Stunty, Thick Skull, Diving Catch</v>
      </c>
      <c r="AX69" s="488"/>
      <c r="AY69" s="488"/>
      <c r="AZ69" s="488"/>
      <c r="BA69" s="488"/>
      <c r="BB69" s="488"/>
      <c r="BC69" s="488"/>
      <c r="BD69" s="488"/>
      <c r="BE69" s="488"/>
      <c r="BF69" s="488"/>
      <c r="BG69" s="509"/>
      <c r="BH69" s="182"/>
    </row>
    <row r="70" spans="2:60" ht="11.25" customHeight="1" x14ac:dyDescent="0.2">
      <c r="B70" s="173" t="str">
        <f>IF(Roster!$AO$1=0,"",Roster!$AO$1)</f>
        <v>COST</v>
      </c>
      <c r="C70" s="174"/>
      <c r="D70" s="510"/>
      <c r="E70" s="511"/>
      <c r="F70" s="511"/>
      <c r="G70" s="511"/>
      <c r="H70" s="511"/>
      <c r="I70" s="511"/>
      <c r="J70" s="511"/>
      <c r="K70" s="511"/>
      <c r="L70" s="511"/>
      <c r="M70" s="511"/>
      <c r="N70" s="509"/>
      <c r="O70" s="185"/>
      <c r="Q70" s="173" t="str">
        <f>IF(Roster!$AO$1=0,"",Roster!$AO$1)</f>
        <v>COST</v>
      </c>
      <c r="R70" s="174"/>
      <c r="S70" s="510"/>
      <c r="T70" s="511"/>
      <c r="U70" s="511"/>
      <c r="V70" s="511"/>
      <c r="W70" s="511"/>
      <c r="X70" s="511"/>
      <c r="Y70" s="511"/>
      <c r="Z70" s="511"/>
      <c r="AA70" s="511"/>
      <c r="AB70" s="511"/>
      <c r="AC70" s="509"/>
      <c r="AD70" s="185"/>
      <c r="AF70" s="173" t="str">
        <f>IF(Roster!$AO$1=0,"",Roster!$AO$1)</f>
        <v>COST</v>
      </c>
      <c r="AG70" s="174"/>
      <c r="AH70" s="510"/>
      <c r="AI70" s="511"/>
      <c r="AJ70" s="511"/>
      <c r="AK70" s="511"/>
      <c r="AL70" s="511"/>
      <c r="AM70" s="511"/>
      <c r="AN70" s="511"/>
      <c r="AO70" s="511"/>
      <c r="AP70" s="511"/>
      <c r="AQ70" s="511"/>
      <c r="AR70" s="509"/>
      <c r="AS70" s="185"/>
      <c r="AU70" s="173" t="str">
        <f>IF(Roster!$AO$1=0,"",Roster!$AO$1)</f>
        <v>COST</v>
      </c>
      <c r="AV70" s="174"/>
      <c r="AW70" s="510"/>
      <c r="AX70" s="511"/>
      <c r="AY70" s="511"/>
      <c r="AZ70" s="511"/>
      <c r="BA70" s="511"/>
      <c r="BB70" s="511"/>
      <c r="BC70" s="511"/>
      <c r="BD70" s="511"/>
      <c r="BE70" s="511"/>
      <c r="BF70" s="511"/>
      <c r="BG70" s="509"/>
      <c r="BH70" s="185"/>
    </row>
    <row r="71" spans="2:60" ht="34.5" customHeight="1" x14ac:dyDescent="0.2">
      <c r="B71" s="187">
        <f>IF(Roster!$AO$9=0,"",Roster!$AO$9)</f>
        <v>45000</v>
      </c>
      <c r="C71" s="188"/>
      <c r="D71" s="512"/>
      <c r="E71" s="513"/>
      <c r="F71" s="513"/>
      <c r="G71" s="513"/>
      <c r="H71" s="513"/>
      <c r="I71" s="513"/>
      <c r="J71" s="513"/>
      <c r="K71" s="513"/>
      <c r="L71" s="513"/>
      <c r="M71" s="513"/>
      <c r="N71" s="514"/>
      <c r="O71" s="185"/>
      <c r="Q71" s="187">
        <f>IF(Roster!$AO$10=0,"",Roster!$AO$10)</f>
        <v>55000</v>
      </c>
      <c r="R71" s="188"/>
      <c r="S71" s="512"/>
      <c r="T71" s="513"/>
      <c r="U71" s="513"/>
      <c r="V71" s="513"/>
      <c r="W71" s="513"/>
      <c r="X71" s="513"/>
      <c r="Y71" s="513"/>
      <c r="Z71" s="513"/>
      <c r="AA71" s="513"/>
      <c r="AB71" s="513"/>
      <c r="AC71" s="514"/>
      <c r="AD71" s="185"/>
      <c r="AF71" s="187">
        <f>IF(Roster!$AO$11=0,"",Roster!$AO$11)</f>
        <v>45000</v>
      </c>
      <c r="AG71" s="188"/>
      <c r="AH71" s="512"/>
      <c r="AI71" s="513"/>
      <c r="AJ71" s="513"/>
      <c r="AK71" s="513"/>
      <c r="AL71" s="513"/>
      <c r="AM71" s="513"/>
      <c r="AN71" s="513"/>
      <c r="AO71" s="513"/>
      <c r="AP71" s="513"/>
      <c r="AQ71" s="513"/>
      <c r="AR71" s="514"/>
      <c r="AS71" s="185"/>
      <c r="AU71" s="187">
        <f>IF(Roster!$AO$12=0,"",Roster!$AO$12)</f>
        <v>55000</v>
      </c>
      <c r="AV71" s="188"/>
      <c r="AW71" s="512"/>
      <c r="AX71" s="513"/>
      <c r="AY71" s="513"/>
      <c r="AZ71" s="513"/>
      <c r="BA71" s="513"/>
      <c r="BB71" s="513"/>
      <c r="BC71" s="513"/>
      <c r="BD71" s="513"/>
      <c r="BE71" s="513"/>
      <c r="BF71" s="513"/>
      <c r="BG71" s="514"/>
      <c r="BH71" s="185"/>
    </row>
    <row r="72" spans="2:60" ht="4.5" customHeight="1" x14ac:dyDescent="0.2">
      <c r="B72" s="520"/>
      <c r="C72" s="330"/>
      <c r="D72" s="330"/>
      <c r="E72" s="330"/>
      <c r="F72" s="330"/>
      <c r="G72" s="330"/>
      <c r="H72" s="330"/>
      <c r="I72" s="330"/>
      <c r="J72" s="330"/>
      <c r="K72" s="330"/>
      <c r="L72" s="330"/>
      <c r="M72" s="330"/>
      <c r="N72" s="331"/>
      <c r="O72" s="189"/>
      <c r="Q72" s="520"/>
      <c r="R72" s="330"/>
      <c r="S72" s="330"/>
      <c r="T72" s="330"/>
      <c r="U72" s="330"/>
      <c r="V72" s="330"/>
      <c r="W72" s="330"/>
      <c r="X72" s="330"/>
      <c r="Y72" s="330"/>
      <c r="Z72" s="330"/>
      <c r="AA72" s="330"/>
      <c r="AB72" s="330"/>
      <c r="AC72" s="331"/>
      <c r="AD72" s="189"/>
      <c r="AF72" s="520"/>
      <c r="AG72" s="330"/>
      <c r="AH72" s="330"/>
      <c r="AI72" s="330"/>
      <c r="AJ72" s="330"/>
      <c r="AK72" s="330"/>
      <c r="AL72" s="330"/>
      <c r="AM72" s="330"/>
      <c r="AN72" s="330"/>
      <c r="AO72" s="330"/>
      <c r="AP72" s="330"/>
      <c r="AQ72" s="330"/>
      <c r="AR72" s="331"/>
      <c r="AS72" s="189"/>
      <c r="AU72" s="520"/>
      <c r="AV72" s="330"/>
      <c r="AW72" s="330"/>
      <c r="AX72" s="330"/>
      <c r="AY72" s="330"/>
      <c r="AZ72" s="330"/>
      <c r="BA72" s="330"/>
      <c r="BB72" s="330"/>
      <c r="BC72" s="330"/>
      <c r="BD72" s="330"/>
      <c r="BE72" s="330"/>
      <c r="BF72" s="330"/>
      <c r="BG72" s="331"/>
      <c r="BH72" s="189"/>
    </row>
    <row r="73" spans="2:60" ht="11.25" customHeight="1" x14ac:dyDescent="0.2"/>
    <row r="74" spans="2:60" ht="4.5" customHeight="1" x14ac:dyDescent="0.2">
      <c r="B74" s="521" t="str">
        <f>IF(Roster!$A$13=0,"","#"&amp;Roster!$A$13)</f>
        <v>#12</v>
      </c>
      <c r="C74" s="167"/>
      <c r="D74" s="167"/>
      <c r="E74" s="167"/>
      <c r="F74" s="167"/>
      <c r="G74" s="167"/>
      <c r="H74" s="167"/>
      <c r="I74" s="167"/>
      <c r="J74" s="167"/>
      <c r="K74" s="167"/>
      <c r="L74" s="167"/>
      <c r="M74" s="167"/>
      <c r="N74" s="167"/>
      <c r="O74" s="168"/>
      <c r="Q74" s="521" t="str">
        <f>IF(Roster!$A$14=0,"","#"&amp;Roster!$A$14)</f>
        <v>#13</v>
      </c>
      <c r="R74" s="167"/>
      <c r="S74" s="167"/>
      <c r="T74" s="167"/>
      <c r="U74" s="167"/>
      <c r="V74" s="167"/>
      <c r="W74" s="167"/>
      <c r="X74" s="167"/>
      <c r="Y74" s="167"/>
      <c r="Z74" s="167"/>
      <c r="AA74" s="167"/>
      <c r="AB74" s="167"/>
      <c r="AC74" s="167"/>
      <c r="AD74" s="168"/>
      <c r="AF74" s="521" t="str">
        <f>IF(Roster!$A$15=0,"","#"&amp;Roster!$A$15)</f>
        <v>#14</v>
      </c>
      <c r="AG74" s="167"/>
      <c r="AH74" s="167"/>
      <c r="AI74" s="167"/>
      <c r="AJ74" s="167"/>
      <c r="AK74" s="167"/>
      <c r="AL74" s="167"/>
      <c r="AM74" s="167"/>
      <c r="AN74" s="167"/>
      <c r="AO74" s="167"/>
      <c r="AP74" s="167"/>
      <c r="AQ74" s="167"/>
      <c r="AR74" s="167"/>
      <c r="AS74" s="168"/>
      <c r="AU74" s="521" t="str">
        <f>IF(Roster!$A$16=0,"","#"&amp;Roster!$A$16)</f>
        <v>#15</v>
      </c>
      <c r="AV74" s="167"/>
      <c r="AW74" s="167"/>
      <c r="AX74" s="167"/>
      <c r="AY74" s="167"/>
      <c r="AZ74" s="167"/>
      <c r="BA74" s="167"/>
      <c r="BB74" s="167"/>
      <c r="BC74" s="167"/>
      <c r="BD74" s="167"/>
      <c r="BE74" s="167"/>
      <c r="BF74" s="167"/>
      <c r="BG74" s="167"/>
      <c r="BH74" s="168"/>
    </row>
    <row r="75" spans="2:60" ht="15" customHeight="1" x14ac:dyDescent="0.25">
      <c r="B75" s="522"/>
      <c r="C75" s="507" t="str">
        <f>IF(Roster!$B$13=0,"",Roster!$B$13)</f>
        <v>Mondelez</v>
      </c>
      <c r="D75" s="296"/>
      <c r="E75" s="296"/>
      <c r="F75" s="296"/>
      <c r="G75" s="296"/>
      <c r="H75" s="296"/>
      <c r="I75" s="296"/>
      <c r="J75" s="296"/>
      <c r="K75" s="296"/>
      <c r="L75" s="296"/>
      <c r="M75" s="296"/>
      <c r="N75" s="297"/>
      <c r="O75" s="169"/>
      <c r="Q75" s="522"/>
      <c r="R75" s="507" t="str">
        <f>IF(Roster!$B$14=0,"",Roster!$B$14)</f>
        <v>Kraft</v>
      </c>
      <c r="S75" s="296"/>
      <c r="T75" s="296"/>
      <c r="U75" s="296"/>
      <c r="V75" s="296"/>
      <c r="W75" s="296"/>
      <c r="X75" s="296"/>
      <c r="Y75" s="296"/>
      <c r="Z75" s="296"/>
      <c r="AA75" s="296"/>
      <c r="AB75" s="296"/>
      <c r="AC75" s="297"/>
      <c r="AD75" s="169"/>
      <c r="AF75" s="522"/>
      <c r="AG75" s="507" t="str">
        <f>IF(Roster!$B$15=0,"",Roster!$B$15)</f>
        <v>Smucker</v>
      </c>
      <c r="AH75" s="296"/>
      <c r="AI75" s="296"/>
      <c r="AJ75" s="296"/>
      <c r="AK75" s="296"/>
      <c r="AL75" s="296"/>
      <c r="AM75" s="296"/>
      <c r="AN75" s="296"/>
      <c r="AO75" s="296"/>
      <c r="AP75" s="296"/>
      <c r="AQ75" s="296"/>
      <c r="AR75" s="297"/>
      <c r="AS75" s="169"/>
      <c r="AU75" s="522"/>
      <c r="AV75" s="507" t="str">
        <f>IF(Roster!$B$16=0,"",Roster!$B$16)</f>
        <v/>
      </c>
      <c r="AW75" s="296"/>
      <c r="AX75" s="296"/>
      <c r="AY75" s="296"/>
      <c r="AZ75" s="296"/>
      <c r="BA75" s="296"/>
      <c r="BB75" s="296"/>
      <c r="BC75" s="296"/>
      <c r="BD75" s="296"/>
      <c r="BE75" s="296"/>
      <c r="BF75" s="296"/>
      <c r="BG75" s="297"/>
      <c r="BH75" s="169"/>
    </row>
    <row r="76" spans="2:60" ht="11.25" customHeight="1" x14ac:dyDescent="0.2">
      <c r="B76" s="523"/>
      <c r="C76" s="524" t="str">
        <f>IF(Roster!$D$13=0,"",Roster!$D$13)</f>
        <v>Journey Goblin</v>
      </c>
      <c r="D76" s="296"/>
      <c r="E76" s="296"/>
      <c r="F76" s="296"/>
      <c r="G76" s="296"/>
      <c r="H76" s="296"/>
      <c r="I76" s="296"/>
      <c r="J76" s="296"/>
      <c r="K76" s="296"/>
      <c r="L76" s="296"/>
      <c r="M76" s="296"/>
      <c r="N76" s="297"/>
      <c r="O76" s="170"/>
      <c r="Q76" s="523"/>
      <c r="R76" s="524" t="str">
        <f>IF(Roster!$D$14=0,"",Roster!$D$14)</f>
        <v>Journey Goblin</v>
      </c>
      <c r="S76" s="296"/>
      <c r="T76" s="296"/>
      <c r="U76" s="296"/>
      <c r="V76" s="296"/>
      <c r="W76" s="296"/>
      <c r="X76" s="296"/>
      <c r="Y76" s="296"/>
      <c r="Z76" s="296"/>
      <c r="AA76" s="296"/>
      <c r="AB76" s="296"/>
      <c r="AC76" s="297"/>
      <c r="AD76" s="170"/>
      <c r="AF76" s="523"/>
      <c r="AG76" s="524" t="str">
        <f>IF(Roster!$D$15=0,"",Roster!$D$15)</f>
        <v>Journey Goblin</v>
      </c>
      <c r="AH76" s="296"/>
      <c r="AI76" s="296"/>
      <c r="AJ76" s="296"/>
      <c r="AK76" s="296"/>
      <c r="AL76" s="296"/>
      <c r="AM76" s="296"/>
      <c r="AN76" s="296"/>
      <c r="AO76" s="296"/>
      <c r="AP76" s="296"/>
      <c r="AQ76" s="296"/>
      <c r="AR76" s="297"/>
      <c r="AS76" s="170"/>
      <c r="AU76" s="523"/>
      <c r="AV76" s="524" t="str">
        <f>IF(Roster!$D$16=0,"",Roster!$D$16)</f>
        <v/>
      </c>
      <c r="AW76" s="296"/>
      <c r="AX76" s="296"/>
      <c r="AY76" s="296"/>
      <c r="AZ76" s="296"/>
      <c r="BA76" s="296"/>
      <c r="BB76" s="296"/>
      <c r="BC76" s="296"/>
      <c r="BD76" s="296"/>
      <c r="BE76" s="296"/>
      <c r="BF76" s="296"/>
      <c r="BG76" s="297"/>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25"/>
      <c r="E78" s="526"/>
      <c r="F78" s="526"/>
      <c r="G78" s="526"/>
      <c r="H78" s="526"/>
      <c r="I78" s="526"/>
      <c r="J78" s="526"/>
      <c r="K78" s="526"/>
      <c r="L78" s="526"/>
      <c r="M78" s="526"/>
      <c r="N78" s="527"/>
      <c r="O78" s="169"/>
      <c r="Q78" s="176">
        <f>IF(Roster!$K$14=0,"",Roster!$K$14)</f>
        <v>6</v>
      </c>
      <c r="R78" s="174"/>
      <c r="S78" s="525"/>
      <c r="T78" s="526"/>
      <c r="U78" s="526"/>
      <c r="V78" s="526"/>
      <c r="W78" s="526"/>
      <c r="X78" s="526"/>
      <c r="Y78" s="526"/>
      <c r="Z78" s="526"/>
      <c r="AA78" s="526"/>
      <c r="AB78" s="526"/>
      <c r="AC78" s="527"/>
      <c r="AD78" s="169"/>
      <c r="AF78" s="176">
        <f>IF(Roster!$K$15=0,"",Roster!$K$15)</f>
        <v>6</v>
      </c>
      <c r="AG78" s="174"/>
      <c r="AH78" s="525"/>
      <c r="AI78" s="526"/>
      <c r="AJ78" s="526"/>
      <c r="AK78" s="526"/>
      <c r="AL78" s="526"/>
      <c r="AM78" s="526"/>
      <c r="AN78" s="526"/>
      <c r="AO78" s="526"/>
      <c r="AP78" s="526"/>
      <c r="AQ78" s="526"/>
      <c r="AR78" s="527"/>
      <c r="AS78" s="169"/>
      <c r="AU78" s="176" t="str">
        <f>IF(Roster!$K$16=0,"",Roster!$K$16)</f>
        <v/>
      </c>
      <c r="AV78" s="174"/>
      <c r="AW78" s="525"/>
      <c r="AX78" s="526"/>
      <c r="AY78" s="526"/>
      <c r="AZ78" s="526"/>
      <c r="BA78" s="526"/>
      <c r="BB78" s="526"/>
      <c r="BC78" s="526"/>
      <c r="BD78" s="526"/>
      <c r="BE78" s="526"/>
      <c r="BF78" s="526"/>
      <c r="BG78" s="527"/>
      <c r="BH78" s="169"/>
    </row>
    <row r="79" spans="2:60" ht="11.25" customHeight="1" x14ac:dyDescent="0.2">
      <c r="B79" s="173" t="str">
        <f>IF(Roster!$L$1=0,"",Roster!$L$1)</f>
        <v>ST</v>
      </c>
      <c r="C79" s="174"/>
      <c r="D79" s="528"/>
      <c r="E79" s="529"/>
      <c r="F79" s="529"/>
      <c r="G79" s="529"/>
      <c r="H79" s="529"/>
      <c r="I79" s="529"/>
      <c r="J79" s="529"/>
      <c r="K79" s="529"/>
      <c r="L79" s="529"/>
      <c r="M79" s="529"/>
      <c r="N79" s="530"/>
      <c r="O79" s="169"/>
      <c r="Q79" s="173" t="str">
        <f>IF(Roster!$L$1=0,"",Roster!$L$1)</f>
        <v>ST</v>
      </c>
      <c r="R79" s="174"/>
      <c r="S79" s="528"/>
      <c r="T79" s="529"/>
      <c r="U79" s="529"/>
      <c r="V79" s="529"/>
      <c r="W79" s="529"/>
      <c r="X79" s="529"/>
      <c r="Y79" s="529"/>
      <c r="Z79" s="529"/>
      <c r="AA79" s="529"/>
      <c r="AB79" s="529"/>
      <c r="AC79" s="530"/>
      <c r="AD79" s="169"/>
      <c r="AF79" s="173" t="str">
        <f>IF(Roster!$L$1=0,"",Roster!$L$1)</f>
        <v>ST</v>
      </c>
      <c r="AG79" s="174"/>
      <c r="AH79" s="528"/>
      <c r="AI79" s="529"/>
      <c r="AJ79" s="529"/>
      <c r="AK79" s="529"/>
      <c r="AL79" s="529"/>
      <c r="AM79" s="529"/>
      <c r="AN79" s="529"/>
      <c r="AO79" s="529"/>
      <c r="AP79" s="529"/>
      <c r="AQ79" s="529"/>
      <c r="AR79" s="530"/>
      <c r="AS79" s="169"/>
      <c r="AU79" s="173" t="str">
        <f>IF(Roster!$L$1=0,"",Roster!$L$1)</f>
        <v>ST</v>
      </c>
      <c r="AV79" s="174"/>
      <c r="AW79" s="528"/>
      <c r="AX79" s="529"/>
      <c r="AY79" s="529"/>
      <c r="AZ79" s="529"/>
      <c r="BA79" s="529"/>
      <c r="BB79" s="529"/>
      <c r="BC79" s="529"/>
      <c r="BD79" s="529"/>
      <c r="BE79" s="529"/>
      <c r="BF79" s="529"/>
      <c r="BG79" s="530"/>
      <c r="BH79" s="169"/>
    </row>
    <row r="80" spans="2:60" ht="37.5" customHeight="1" x14ac:dyDescent="0.2">
      <c r="B80" s="176">
        <f>IF(Roster!$L$13=0,"",Roster!$L$13)</f>
        <v>2</v>
      </c>
      <c r="C80" s="174"/>
      <c r="D80" s="528"/>
      <c r="E80" s="529"/>
      <c r="F80" s="529"/>
      <c r="G80" s="529"/>
      <c r="H80" s="529"/>
      <c r="I80" s="529"/>
      <c r="J80" s="529"/>
      <c r="K80" s="529"/>
      <c r="L80" s="529"/>
      <c r="M80" s="529"/>
      <c r="N80" s="530"/>
      <c r="O80" s="169"/>
      <c r="Q80" s="176">
        <f>IF(Roster!$L$14=0,"",Roster!$L$14)</f>
        <v>2</v>
      </c>
      <c r="R80" s="174"/>
      <c r="S80" s="528"/>
      <c r="T80" s="529"/>
      <c r="U80" s="529"/>
      <c r="V80" s="529"/>
      <c r="W80" s="529"/>
      <c r="X80" s="529"/>
      <c r="Y80" s="529"/>
      <c r="Z80" s="529"/>
      <c r="AA80" s="529"/>
      <c r="AB80" s="529"/>
      <c r="AC80" s="530"/>
      <c r="AD80" s="169"/>
      <c r="AF80" s="176">
        <f>IF(Roster!$L$15=0,"",Roster!$L$15)</f>
        <v>2</v>
      </c>
      <c r="AG80" s="174"/>
      <c r="AH80" s="528"/>
      <c r="AI80" s="529"/>
      <c r="AJ80" s="529"/>
      <c r="AK80" s="529"/>
      <c r="AL80" s="529"/>
      <c r="AM80" s="529"/>
      <c r="AN80" s="529"/>
      <c r="AO80" s="529"/>
      <c r="AP80" s="529"/>
      <c r="AQ80" s="529"/>
      <c r="AR80" s="530"/>
      <c r="AS80" s="169"/>
      <c r="AU80" s="176" t="str">
        <f>IF(Roster!$L$16=0,"",Roster!$L$16)</f>
        <v/>
      </c>
      <c r="AV80" s="174"/>
      <c r="AW80" s="528"/>
      <c r="AX80" s="529"/>
      <c r="AY80" s="529"/>
      <c r="AZ80" s="529"/>
      <c r="BA80" s="529"/>
      <c r="BB80" s="529"/>
      <c r="BC80" s="529"/>
      <c r="BD80" s="529"/>
      <c r="BE80" s="529"/>
      <c r="BF80" s="529"/>
      <c r="BG80" s="530"/>
      <c r="BH80" s="169"/>
    </row>
    <row r="81" spans="2:60" ht="11.25" customHeight="1" x14ac:dyDescent="0.2">
      <c r="B81" s="173" t="str">
        <f>IF(Roster!$M$1=0,"",Roster!$M$1)</f>
        <v>AG</v>
      </c>
      <c r="C81" s="174"/>
      <c r="D81" s="528"/>
      <c r="E81" s="529"/>
      <c r="F81" s="529"/>
      <c r="G81" s="529"/>
      <c r="H81" s="529"/>
      <c r="I81" s="529"/>
      <c r="J81" s="529"/>
      <c r="K81" s="529"/>
      <c r="L81" s="529"/>
      <c r="M81" s="529"/>
      <c r="N81" s="530"/>
      <c r="O81" s="169"/>
      <c r="Q81" s="173" t="str">
        <f>IF(Roster!$M$1=0,"",Roster!$M$1)</f>
        <v>AG</v>
      </c>
      <c r="R81" s="174"/>
      <c r="S81" s="528"/>
      <c r="T81" s="529"/>
      <c r="U81" s="529"/>
      <c r="V81" s="529"/>
      <c r="W81" s="529"/>
      <c r="X81" s="529"/>
      <c r="Y81" s="529"/>
      <c r="Z81" s="529"/>
      <c r="AA81" s="529"/>
      <c r="AB81" s="529"/>
      <c r="AC81" s="530"/>
      <c r="AD81" s="169"/>
      <c r="AF81" s="173" t="str">
        <f>IF(Roster!$M$1=0,"",Roster!$M$1)</f>
        <v>AG</v>
      </c>
      <c r="AG81" s="174"/>
      <c r="AH81" s="528"/>
      <c r="AI81" s="529"/>
      <c r="AJ81" s="529"/>
      <c r="AK81" s="529"/>
      <c r="AL81" s="529"/>
      <c r="AM81" s="529"/>
      <c r="AN81" s="529"/>
      <c r="AO81" s="529"/>
      <c r="AP81" s="529"/>
      <c r="AQ81" s="529"/>
      <c r="AR81" s="530"/>
      <c r="AS81" s="169"/>
      <c r="AU81" s="173" t="str">
        <f>IF(Roster!$M$1=0,"",Roster!$M$1)</f>
        <v>AG</v>
      </c>
      <c r="AV81" s="174"/>
      <c r="AW81" s="528"/>
      <c r="AX81" s="529"/>
      <c r="AY81" s="529"/>
      <c r="AZ81" s="529"/>
      <c r="BA81" s="529"/>
      <c r="BB81" s="529"/>
      <c r="BC81" s="529"/>
      <c r="BD81" s="529"/>
      <c r="BE81" s="529"/>
      <c r="BF81" s="529"/>
      <c r="BG81" s="530"/>
      <c r="BH81" s="169"/>
    </row>
    <row r="82" spans="2:60" ht="37.5" customHeight="1" x14ac:dyDescent="0.2">
      <c r="B82" s="176" t="str">
        <f>IF(Roster!$M$13=0&amp;"+","",Roster!$M$13)</f>
        <v>3+</v>
      </c>
      <c r="C82" s="174"/>
      <c r="D82" s="528"/>
      <c r="E82" s="529"/>
      <c r="F82" s="529"/>
      <c r="G82" s="529"/>
      <c r="H82" s="529"/>
      <c r="I82" s="529"/>
      <c r="J82" s="529"/>
      <c r="K82" s="529"/>
      <c r="L82" s="529"/>
      <c r="M82" s="529"/>
      <c r="N82" s="530"/>
      <c r="O82" s="169"/>
      <c r="Q82" s="176" t="str">
        <f>IF(Roster!$M$14=0&amp;"+","",Roster!$M$14)</f>
        <v>3+</v>
      </c>
      <c r="R82" s="174"/>
      <c r="S82" s="528"/>
      <c r="T82" s="529"/>
      <c r="U82" s="529"/>
      <c r="V82" s="529"/>
      <c r="W82" s="529"/>
      <c r="X82" s="529"/>
      <c r="Y82" s="529"/>
      <c r="Z82" s="529"/>
      <c r="AA82" s="529"/>
      <c r="AB82" s="529"/>
      <c r="AC82" s="530"/>
      <c r="AD82" s="169"/>
      <c r="AF82" s="176" t="str">
        <f>IF(Roster!$M$15=0&amp;"+","",Roster!$M$15)</f>
        <v>3+</v>
      </c>
      <c r="AG82" s="174"/>
      <c r="AH82" s="528"/>
      <c r="AI82" s="529"/>
      <c r="AJ82" s="529"/>
      <c r="AK82" s="529"/>
      <c r="AL82" s="529"/>
      <c r="AM82" s="529"/>
      <c r="AN82" s="529"/>
      <c r="AO82" s="529"/>
      <c r="AP82" s="529"/>
      <c r="AQ82" s="529"/>
      <c r="AR82" s="530"/>
      <c r="AS82" s="169"/>
      <c r="AU82" s="176" t="str">
        <f>IF(Roster!$M$16=0&amp;"+","",Roster!$M$16)</f>
        <v/>
      </c>
      <c r="AV82" s="174"/>
      <c r="AW82" s="528"/>
      <c r="AX82" s="529"/>
      <c r="AY82" s="529"/>
      <c r="AZ82" s="529"/>
      <c r="BA82" s="529"/>
      <c r="BB82" s="529"/>
      <c r="BC82" s="529"/>
      <c r="BD82" s="529"/>
      <c r="BE82" s="529"/>
      <c r="BF82" s="529"/>
      <c r="BG82" s="530"/>
      <c r="BH82" s="169"/>
    </row>
    <row r="83" spans="2:60" ht="11.25" customHeight="1" x14ac:dyDescent="0.2">
      <c r="B83" s="173" t="str">
        <f>IF(Roster!$N$1=0,"",Roster!$N$1)</f>
        <v>PA</v>
      </c>
      <c r="C83" s="174"/>
      <c r="D83" s="528"/>
      <c r="E83" s="529"/>
      <c r="F83" s="529"/>
      <c r="G83" s="529"/>
      <c r="H83" s="529"/>
      <c r="I83" s="529"/>
      <c r="J83" s="529"/>
      <c r="K83" s="529"/>
      <c r="L83" s="529"/>
      <c r="M83" s="529"/>
      <c r="N83" s="530"/>
      <c r="O83" s="178"/>
      <c r="Q83" s="173" t="str">
        <f>IF(Roster!$N$1=0,"",Roster!$N$1)</f>
        <v>PA</v>
      </c>
      <c r="R83" s="174"/>
      <c r="S83" s="528"/>
      <c r="T83" s="529"/>
      <c r="U83" s="529"/>
      <c r="V83" s="529"/>
      <c r="W83" s="529"/>
      <c r="X83" s="529"/>
      <c r="Y83" s="529"/>
      <c r="Z83" s="529"/>
      <c r="AA83" s="529"/>
      <c r="AB83" s="529"/>
      <c r="AC83" s="530"/>
      <c r="AD83" s="178"/>
      <c r="AF83" s="173" t="str">
        <f>IF(Roster!$N$1=0,"",Roster!$N$1)</f>
        <v>PA</v>
      </c>
      <c r="AG83" s="174"/>
      <c r="AH83" s="528"/>
      <c r="AI83" s="529"/>
      <c r="AJ83" s="529"/>
      <c r="AK83" s="529"/>
      <c r="AL83" s="529"/>
      <c r="AM83" s="529"/>
      <c r="AN83" s="529"/>
      <c r="AO83" s="529"/>
      <c r="AP83" s="529"/>
      <c r="AQ83" s="529"/>
      <c r="AR83" s="530"/>
      <c r="AS83" s="178"/>
      <c r="AU83" s="173" t="str">
        <f>IF(Roster!$N$1=0,"",Roster!$N$1)</f>
        <v>PA</v>
      </c>
      <c r="AV83" s="174"/>
      <c r="AW83" s="528"/>
      <c r="AX83" s="529"/>
      <c r="AY83" s="529"/>
      <c r="AZ83" s="529"/>
      <c r="BA83" s="529"/>
      <c r="BB83" s="529"/>
      <c r="BC83" s="529"/>
      <c r="BD83" s="529"/>
      <c r="BE83" s="529"/>
      <c r="BF83" s="529"/>
      <c r="BG83" s="530"/>
      <c r="BH83" s="178"/>
    </row>
    <row r="84" spans="2:60" ht="6" customHeight="1" x14ac:dyDescent="0.2">
      <c r="B84" s="518" t="str">
        <f>IF(Roster!$N$13=0&amp;"+","",Roster!$N$13)</f>
        <v>4+</v>
      </c>
      <c r="C84" s="174"/>
      <c r="D84" s="531"/>
      <c r="E84" s="532"/>
      <c r="F84" s="532"/>
      <c r="G84" s="532"/>
      <c r="H84" s="532"/>
      <c r="I84" s="532"/>
      <c r="J84" s="532"/>
      <c r="K84" s="532"/>
      <c r="L84" s="532"/>
      <c r="M84" s="532"/>
      <c r="N84" s="533"/>
      <c r="O84" s="180"/>
      <c r="Q84" s="518" t="str">
        <f>IF(Roster!$N$14=0&amp;"+","",Roster!$N$14)</f>
        <v>4+</v>
      </c>
      <c r="R84" s="174"/>
      <c r="S84" s="531"/>
      <c r="T84" s="532"/>
      <c r="U84" s="532"/>
      <c r="V84" s="532"/>
      <c r="W84" s="532"/>
      <c r="X84" s="532"/>
      <c r="Y84" s="532"/>
      <c r="Z84" s="532"/>
      <c r="AA84" s="532"/>
      <c r="AB84" s="532"/>
      <c r="AC84" s="533"/>
      <c r="AD84" s="180"/>
      <c r="AF84" s="518" t="str">
        <f>IF(Roster!$N$15=0&amp;"+","",Roster!$N$15)</f>
        <v>4+</v>
      </c>
      <c r="AG84" s="174"/>
      <c r="AH84" s="531"/>
      <c r="AI84" s="532"/>
      <c r="AJ84" s="532"/>
      <c r="AK84" s="532"/>
      <c r="AL84" s="532"/>
      <c r="AM84" s="532"/>
      <c r="AN84" s="532"/>
      <c r="AO84" s="532"/>
      <c r="AP84" s="532"/>
      <c r="AQ84" s="532"/>
      <c r="AR84" s="533"/>
      <c r="AS84" s="180"/>
      <c r="AU84" s="518" t="str">
        <f>IF(Roster!$N$16=0&amp;"+","",Roster!$N$16)</f>
        <v/>
      </c>
      <c r="AV84" s="174"/>
      <c r="AW84" s="531"/>
      <c r="AX84" s="532"/>
      <c r="AY84" s="532"/>
      <c r="AZ84" s="532"/>
      <c r="BA84" s="532"/>
      <c r="BB84" s="532"/>
      <c r="BC84" s="532"/>
      <c r="BD84" s="532"/>
      <c r="BE84" s="532"/>
      <c r="BF84" s="532"/>
      <c r="BG84" s="533"/>
      <c r="BH84" s="180"/>
    </row>
    <row r="85" spans="2:60" ht="4.5" customHeight="1" x14ac:dyDescent="0.2">
      <c r="B85" s="519"/>
      <c r="C85" s="172"/>
      <c r="D85" s="181"/>
      <c r="E85" s="179"/>
      <c r="F85" s="181"/>
      <c r="G85" s="179"/>
      <c r="H85" s="181"/>
      <c r="I85" s="179"/>
      <c r="J85" s="181"/>
      <c r="K85" s="179"/>
      <c r="L85" s="181"/>
      <c r="M85" s="179"/>
      <c r="N85" s="181"/>
      <c r="O85" s="180"/>
      <c r="Q85" s="519"/>
      <c r="R85" s="172"/>
      <c r="S85" s="181"/>
      <c r="T85" s="179"/>
      <c r="U85" s="181"/>
      <c r="V85" s="179"/>
      <c r="W85" s="181"/>
      <c r="X85" s="179"/>
      <c r="Y85" s="181"/>
      <c r="Z85" s="179"/>
      <c r="AA85" s="181"/>
      <c r="AB85" s="179"/>
      <c r="AC85" s="181"/>
      <c r="AD85" s="180"/>
      <c r="AF85" s="519"/>
      <c r="AG85" s="172"/>
      <c r="AH85" s="181"/>
      <c r="AI85" s="179"/>
      <c r="AJ85" s="181"/>
      <c r="AK85" s="179"/>
      <c r="AL85" s="181"/>
      <c r="AM85" s="179"/>
      <c r="AN85" s="181"/>
      <c r="AO85" s="179"/>
      <c r="AP85" s="181"/>
      <c r="AQ85" s="179"/>
      <c r="AR85" s="181"/>
      <c r="AS85" s="180"/>
      <c r="AU85" s="519"/>
      <c r="AV85" s="172"/>
      <c r="AW85" s="181"/>
      <c r="AX85" s="179"/>
      <c r="AY85" s="181"/>
      <c r="AZ85" s="179"/>
      <c r="BA85" s="181"/>
      <c r="BB85" s="179"/>
      <c r="BC85" s="181"/>
      <c r="BD85" s="179"/>
      <c r="BE85" s="181"/>
      <c r="BF85" s="179"/>
      <c r="BG85" s="181"/>
      <c r="BH85" s="180"/>
    </row>
    <row r="86" spans="2:60" ht="11.25" customHeight="1" x14ac:dyDescent="0.2">
      <c r="B86" s="519"/>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19"/>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19"/>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19"/>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19"/>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19"/>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19"/>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19"/>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3"/>
      <c r="C88" s="175"/>
      <c r="D88" s="208"/>
      <c r="E88" s="207"/>
      <c r="F88" s="208"/>
      <c r="G88" s="207"/>
      <c r="H88" s="208"/>
      <c r="I88" s="207"/>
      <c r="J88" s="208"/>
      <c r="K88" s="207"/>
      <c r="L88" s="208"/>
      <c r="M88" s="207"/>
      <c r="N88" s="208"/>
      <c r="O88" s="180"/>
      <c r="Q88" s="403"/>
      <c r="R88" s="175"/>
      <c r="S88" s="208"/>
      <c r="T88" s="207"/>
      <c r="U88" s="208"/>
      <c r="V88" s="207"/>
      <c r="W88" s="208"/>
      <c r="X88" s="207"/>
      <c r="Y88" s="208"/>
      <c r="Z88" s="207"/>
      <c r="AA88" s="208"/>
      <c r="AB88" s="207"/>
      <c r="AC88" s="208"/>
      <c r="AD88" s="180"/>
      <c r="AF88" s="403"/>
      <c r="AG88" s="175"/>
      <c r="AH88" s="208"/>
      <c r="AI88" s="207"/>
      <c r="AJ88" s="208"/>
      <c r="AK88" s="207"/>
      <c r="AL88" s="208"/>
      <c r="AM88" s="207"/>
      <c r="AN88" s="208"/>
      <c r="AO88" s="207"/>
      <c r="AP88" s="208"/>
      <c r="AQ88" s="207"/>
      <c r="AR88" s="208"/>
      <c r="AS88" s="180"/>
      <c r="AU88" s="403"/>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18"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18"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18"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18"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19"/>
      <c r="C91" s="175"/>
      <c r="D91" s="207"/>
      <c r="E91" s="207"/>
      <c r="F91" s="207"/>
      <c r="G91" s="207"/>
      <c r="H91" s="207"/>
      <c r="I91" s="207"/>
      <c r="J91" s="207"/>
      <c r="K91" s="207"/>
      <c r="L91" s="207"/>
      <c r="M91" s="207"/>
      <c r="N91" s="210"/>
      <c r="O91" s="182"/>
      <c r="Q91" s="519"/>
      <c r="R91" s="175"/>
      <c r="S91" s="207"/>
      <c r="T91" s="207"/>
      <c r="U91" s="207"/>
      <c r="V91" s="207"/>
      <c r="W91" s="207"/>
      <c r="X91" s="207"/>
      <c r="Y91" s="207"/>
      <c r="Z91" s="207"/>
      <c r="AA91" s="207"/>
      <c r="AB91" s="207"/>
      <c r="AC91" s="210"/>
      <c r="AD91" s="182"/>
      <c r="AF91" s="519"/>
      <c r="AG91" s="175"/>
      <c r="AH91" s="207"/>
      <c r="AI91" s="207"/>
      <c r="AJ91" s="207"/>
      <c r="AK91" s="207"/>
      <c r="AL91" s="207"/>
      <c r="AM91" s="207"/>
      <c r="AN91" s="207"/>
      <c r="AO91" s="207"/>
      <c r="AP91" s="207"/>
      <c r="AQ91" s="207"/>
      <c r="AR91" s="210"/>
      <c r="AS91" s="182"/>
      <c r="AU91" s="519"/>
      <c r="AV91" s="175"/>
      <c r="AW91" s="207"/>
      <c r="AX91" s="207"/>
      <c r="AY91" s="207"/>
      <c r="AZ91" s="207"/>
      <c r="BA91" s="207"/>
      <c r="BB91" s="207"/>
      <c r="BC91" s="207"/>
      <c r="BD91" s="207"/>
      <c r="BE91" s="207"/>
      <c r="BF91" s="207"/>
      <c r="BG91" s="210"/>
      <c r="BH91" s="182"/>
    </row>
    <row r="92" spans="2:60" ht="11.25" customHeight="1" x14ac:dyDescent="0.2">
      <c r="B92" s="519"/>
      <c r="C92" s="175"/>
      <c r="D92" s="515" t="str">
        <f>IF(Roster!$K$25="Italiano","ABILITÀ &amp; TRATTI",(IF(Roster!$K$25="Español","HABILIDADES Y RASGOS","SKILLS &amp; TRAITS")))</f>
        <v>SKILLS &amp; TRAITS</v>
      </c>
      <c r="E92" s="516"/>
      <c r="F92" s="516"/>
      <c r="G92" s="516"/>
      <c r="H92" s="516"/>
      <c r="I92" s="516"/>
      <c r="J92" s="516"/>
      <c r="K92" s="516"/>
      <c r="L92" s="516"/>
      <c r="M92" s="516"/>
      <c r="N92" s="517"/>
      <c r="O92" s="182"/>
      <c r="Q92" s="519"/>
      <c r="R92" s="175"/>
      <c r="S92" s="515" t="str">
        <f>IF(Roster!$K$25="Italiano","ABILITÀ &amp; TRATTI",(IF(Roster!$K$25="Español","HABILIDADES Y RASGOS","SKILLS &amp; TRAITS")))</f>
        <v>SKILLS &amp; TRAITS</v>
      </c>
      <c r="T92" s="516"/>
      <c r="U92" s="516"/>
      <c r="V92" s="516"/>
      <c r="W92" s="516"/>
      <c r="X92" s="516"/>
      <c r="Y92" s="516"/>
      <c r="Z92" s="516"/>
      <c r="AA92" s="516"/>
      <c r="AB92" s="516"/>
      <c r="AC92" s="517"/>
      <c r="AD92" s="182"/>
      <c r="AF92" s="519"/>
      <c r="AG92" s="175"/>
      <c r="AH92" s="515" t="str">
        <f>IF(Roster!$K$25="Italiano","ABILITÀ &amp; TRATTI",(IF(Roster!$K$25="Español","HABILIDADES Y RASGOS","SKILLS &amp; TRAITS")))</f>
        <v>SKILLS &amp; TRAITS</v>
      </c>
      <c r="AI92" s="516"/>
      <c r="AJ92" s="516"/>
      <c r="AK92" s="516"/>
      <c r="AL92" s="516"/>
      <c r="AM92" s="516"/>
      <c r="AN92" s="516"/>
      <c r="AO92" s="516"/>
      <c r="AP92" s="516"/>
      <c r="AQ92" s="516"/>
      <c r="AR92" s="517"/>
      <c r="AS92" s="182"/>
      <c r="AU92" s="519"/>
      <c r="AV92" s="175"/>
      <c r="AW92" s="515" t="str">
        <f>IF(Roster!$K$25="Italiano","ABILITÀ &amp; TRATTI",(IF(Roster!$K$25="Español","HABILIDADES Y RASGOS","SKILLS &amp; TRAITS")))</f>
        <v>SKILLS &amp; TRAITS</v>
      </c>
      <c r="AX92" s="516"/>
      <c r="AY92" s="516"/>
      <c r="AZ92" s="516"/>
      <c r="BA92" s="516"/>
      <c r="BB92" s="516"/>
      <c r="BC92" s="516"/>
      <c r="BD92" s="516"/>
      <c r="BE92" s="516"/>
      <c r="BF92" s="516"/>
      <c r="BG92" s="517"/>
      <c r="BH92" s="182"/>
    </row>
    <row r="93" spans="2:60" ht="6.75" customHeight="1" x14ac:dyDescent="0.2">
      <c r="B93" s="403"/>
      <c r="C93" s="175"/>
      <c r="D93" s="508" t="str">
        <f>IF(Roster!$P$13=0&amp;AQ74,"",Roster!$P$13)</f>
        <v>Loner (4+), Dodge, Right Stuff, Stunty, Thick Skull</v>
      </c>
      <c r="E93" s="488"/>
      <c r="F93" s="488"/>
      <c r="G93" s="488"/>
      <c r="H93" s="488"/>
      <c r="I93" s="488"/>
      <c r="J93" s="488"/>
      <c r="K93" s="488"/>
      <c r="L93" s="488"/>
      <c r="M93" s="488"/>
      <c r="N93" s="509"/>
      <c r="O93" s="182"/>
      <c r="Q93" s="403"/>
      <c r="R93" s="175"/>
      <c r="S93" s="508" t="str">
        <f>IF(Roster!$P$14=0&amp;BF74,"",Roster!$P$14)</f>
        <v>Loner (4+), Dodge, Right Stuff, Stunty, Thick Skull</v>
      </c>
      <c r="T93" s="488"/>
      <c r="U93" s="488"/>
      <c r="V93" s="488"/>
      <c r="W93" s="488"/>
      <c r="X93" s="488"/>
      <c r="Y93" s="488"/>
      <c r="Z93" s="488"/>
      <c r="AA93" s="488"/>
      <c r="AB93" s="488"/>
      <c r="AC93" s="509"/>
      <c r="AD93" s="182"/>
      <c r="AF93" s="403"/>
      <c r="AG93" s="175"/>
      <c r="AH93" s="508" t="str">
        <f>IF(Roster!$P$15=0&amp;BU74,"",Roster!$P$15)</f>
        <v>Loner (4+), Dodge, Right Stuff, Stunty, Thick Skull</v>
      </c>
      <c r="AI93" s="488"/>
      <c r="AJ93" s="488"/>
      <c r="AK93" s="488"/>
      <c r="AL93" s="488"/>
      <c r="AM93" s="488"/>
      <c r="AN93" s="488"/>
      <c r="AO93" s="488"/>
      <c r="AP93" s="488"/>
      <c r="AQ93" s="488"/>
      <c r="AR93" s="509"/>
      <c r="AS93" s="182"/>
      <c r="AU93" s="403"/>
      <c r="AV93" s="175"/>
      <c r="AW93" s="508" t="str">
        <f>IF(Roster!$P$16=0&amp;CJ74,"",Roster!$P$16)</f>
        <v/>
      </c>
      <c r="AX93" s="488"/>
      <c r="AY93" s="488"/>
      <c r="AZ93" s="488"/>
      <c r="BA93" s="488"/>
      <c r="BB93" s="488"/>
      <c r="BC93" s="488"/>
      <c r="BD93" s="488"/>
      <c r="BE93" s="488"/>
      <c r="BF93" s="488"/>
      <c r="BG93" s="509"/>
      <c r="BH93" s="182"/>
    </row>
    <row r="94" spans="2:60" ht="11.25" customHeight="1" x14ac:dyDescent="0.2">
      <c r="B94" s="173" t="str">
        <f>IF(Roster!$AO$1=0,"",Roster!$AO$1)</f>
        <v>COST</v>
      </c>
      <c r="C94" s="174"/>
      <c r="D94" s="510"/>
      <c r="E94" s="511"/>
      <c r="F94" s="511"/>
      <c r="G94" s="511"/>
      <c r="H94" s="511"/>
      <c r="I94" s="511"/>
      <c r="J94" s="511"/>
      <c r="K94" s="511"/>
      <c r="L94" s="511"/>
      <c r="M94" s="511"/>
      <c r="N94" s="509"/>
      <c r="O94" s="185"/>
      <c r="Q94" s="173" t="str">
        <f>IF(Roster!$AO$1=0,"",Roster!$AO$1)</f>
        <v>COST</v>
      </c>
      <c r="R94" s="174"/>
      <c r="S94" s="510"/>
      <c r="T94" s="511"/>
      <c r="U94" s="511"/>
      <c r="V94" s="511"/>
      <c r="W94" s="511"/>
      <c r="X94" s="511"/>
      <c r="Y94" s="511"/>
      <c r="Z94" s="511"/>
      <c r="AA94" s="511"/>
      <c r="AB94" s="511"/>
      <c r="AC94" s="509"/>
      <c r="AD94" s="185"/>
      <c r="AF94" s="173" t="str">
        <f>IF(Roster!$AO$1=0,"",Roster!$AO$1)</f>
        <v>COST</v>
      </c>
      <c r="AG94" s="174"/>
      <c r="AH94" s="510"/>
      <c r="AI94" s="511"/>
      <c r="AJ94" s="511"/>
      <c r="AK94" s="511"/>
      <c r="AL94" s="511"/>
      <c r="AM94" s="511"/>
      <c r="AN94" s="511"/>
      <c r="AO94" s="511"/>
      <c r="AP94" s="511"/>
      <c r="AQ94" s="511"/>
      <c r="AR94" s="509"/>
      <c r="AS94" s="185"/>
      <c r="AU94" s="173" t="str">
        <f>IF(Roster!$AO$1=0,"",Roster!$AO$1)</f>
        <v>COST</v>
      </c>
      <c r="AV94" s="174"/>
      <c r="AW94" s="510"/>
      <c r="AX94" s="511"/>
      <c r="AY94" s="511"/>
      <c r="AZ94" s="511"/>
      <c r="BA94" s="511"/>
      <c r="BB94" s="511"/>
      <c r="BC94" s="511"/>
      <c r="BD94" s="511"/>
      <c r="BE94" s="511"/>
      <c r="BF94" s="511"/>
      <c r="BG94" s="509"/>
      <c r="BH94" s="185"/>
    </row>
    <row r="95" spans="2:60" ht="34.5" customHeight="1" x14ac:dyDescent="0.2">
      <c r="B95" s="187" t="str">
        <f>IF(Roster!$AO$13=0,"",Roster!$AO$13)</f>
        <v/>
      </c>
      <c r="C95" s="188"/>
      <c r="D95" s="512"/>
      <c r="E95" s="513"/>
      <c r="F95" s="513"/>
      <c r="G95" s="513"/>
      <c r="H95" s="513"/>
      <c r="I95" s="513"/>
      <c r="J95" s="513"/>
      <c r="K95" s="513"/>
      <c r="L95" s="513"/>
      <c r="M95" s="513"/>
      <c r="N95" s="514"/>
      <c r="O95" s="185"/>
      <c r="Q95" s="187" t="str">
        <f>IF(Roster!$AO$14=0,"",Roster!$AO$14)</f>
        <v/>
      </c>
      <c r="R95" s="188"/>
      <c r="S95" s="512"/>
      <c r="T95" s="513"/>
      <c r="U95" s="513"/>
      <c r="V95" s="513"/>
      <c r="W95" s="513"/>
      <c r="X95" s="513"/>
      <c r="Y95" s="513"/>
      <c r="Z95" s="513"/>
      <c r="AA95" s="513"/>
      <c r="AB95" s="513"/>
      <c r="AC95" s="514"/>
      <c r="AD95" s="185"/>
      <c r="AF95" s="187" t="str">
        <f>IF(Roster!$AO$15=0,"",Roster!$AO$15)</f>
        <v/>
      </c>
      <c r="AG95" s="188"/>
      <c r="AH95" s="512"/>
      <c r="AI95" s="513"/>
      <c r="AJ95" s="513"/>
      <c r="AK95" s="513"/>
      <c r="AL95" s="513"/>
      <c r="AM95" s="513"/>
      <c r="AN95" s="513"/>
      <c r="AO95" s="513"/>
      <c r="AP95" s="513"/>
      <c r="AQ95" s="513"/>
      <c r="AR95" s="514"/>
      <c r="AS95" s="185"/>
      <c r="AU95" s="187" t="str">
        <f>IF(Roster!$AO$16=0,"",Roster!$AO$16)</f>
        <v/>
      </c>
      <c r="AV95" s="188"/>
      <c r="AW95" s="512"/>
      <c r="AX95" s="513"/>
      <c r="AY95" s="513"/>
      <c r="AZ95" s="513"/>
      <c r="BA95" s="513"/>
      <c r="BB95" s="513"/>
      <c r="BC95" s="513"/>
      <c r="BD95" s="513"/>
      <c r="BE95" s="513"/>
      <c r="BF95" s="513"/>
      <c r="BG95" s="514"/>
      <c r="BH95" s="185"/>
    </row>
    <row r="96" spans="2:60" ht="4.5" customHeight="1" x14ac:dyDescent="0.2">
      <c r="B96" s="520"/>
      <c r="C96" s="330"/>
      <c r="D96" s="330"/>
      <c r="E96" s="330"/>
      <c r="F96" s="330"/>
      <c r="G96" s="330"/>
      <c r="H96" s="330"/>
      <c r="I96" s="330"/>
      <c r="J96" s="330"/>
      <c r="K96" s="330"/>
      <c r="L96" s="330"/>
      <c r="M96" s="330"/>
      <c r="N96" s="331"/>
      <c r="O96" s="189"/>
      <c r="Q96" s="520"/>
      <c r="R96" s="330"/>
      <c r="S96" s="330"/>
      <c r="T96" s="330"/>
      <c r="U96" s="330"/>
      <c r="V96" s="330"/>
      <c r="W96" s="330"/>
      <c r="X96" s="330"/>
      <c r="Y96" s="330"/>
      <c r="Z96" s="330"/>
      <c r="AA96" s="330"/>
      <c r="AB96" s="330"/>
      <c r="AC96" s="331"/>
      <c r="AD96" s="189"/>
      <c r="AF96" s="520"/>
      <c r="AG96" s="330"/>
      <c r="AH96" s="330"/>
      <c r="AI96" s="330"/>
      <c r="AJ96" s="330"/>
      <c r="AK96" s="330"/>
      <c r="AL96" s="330"/>
      <c r="AM96" s="330"/>
      <c r="AN96" s="330"/>
      <c r="AO96" s="330"/>
      <c r="AP96" s="330"/>
      <c r="AQ96" s="330"/>
      <c r="AR96" s="331"/>
      <c r="AS96" s="189"/>
      <c r="AU96" s="520"/>
      <c r="AV96" s="330"/>
      <c r="AW96" s="330"/>
      <c r="AX96" s="330"/>
      <c r="AY96" s="330"/>
      <c r="AZ96" s="330"/>
      <c r="BA96" s="330"/>
      <c r="BB96" s="330"/>
      <c r="BC96" s="330"/>
      <c r="BD96" s="330"/>
      <c r="BE96" s="330"/>
      <c r="BF96" s="330"/>
      <c r="BG96" s="331"/>
      <c r="BH96" s="189"/>
    </row>
    <row r="97" spans="2:61" ht="11.25" customHeight="1" x14ac:dyDescent="0.2"/>
    <row r="98" spans="2:61" ht="4.5" customHeight="1" x14ac:dyDescent="0.2">
      <c r="B98" s="521" t="str">
        <f>IF(Roster!$A$17=0,"","#"&amp;Roster!$A$17)</f>
        <v>#16</v>
      </c>
      <c r="C98" s="167"/>
      <c r="D98" s="167"/>
      <c r="E98" s="167"/>
      <c r="F98" s="167"/>
      <c r="G98" s="167"/>
      <c r="H98" s="167"/>
      <c r="I98" s="167"/>
      <c r="J98" s="167"/>
      <c r="K98" s="167"/>
      <c r="L98" s="167"/>
      <c r="M98" s="167"/>
      <c r="N98" s="167"/>
      <c r="O98" s="168"/>
      <c r="Q98" s="521"/>
      <c r="R98" s="167"/>
      <c r="S98" s="167"/>
      <c r="T98" s="167"/>
      <c r="U98" s="167"/>
      <c r="V98" s="167"/>
      <c r="W98" s="167"/>
      <c r="X98" s="167"/>
      <c r="Y98" s="167"/>
      <c r="Z98" s="167"/>
      <c r="AA98" s="167"/>
      <c r="AB98" s="167"/>
      <c r="AC98" s="167"/>
      <c r="AD98" s="168"/>
      <c r="AE98" s="181"/>
      <c r="AF98" s="521"/>
      <c r="AG98" s="167"/>
      <c r="AH98" s="167"/>
      <c r="AI98" s="167"/>
      <c r="AJ98" s="167"/>
      <c r="AK98" s="167"/>
      <c r="AL98" s="167"/>
      <c r="AM98" s="167"/>
      <c r="AN98" s="167"/>
      <c r="AO98" s="167"/>
      <c r="AP98" s="167"/>
      <c r="AQ98" s="167"/>
      <c r="AR98" s="167"/>
      <c r="AS98" s="168"/>
      <c r="AT98" s="181"/>
      <c r="AU98" s="521"/>
      <c r="AV98" s="167"/>
      <c r="AW98" s="167"/>
      <c r="AX98" s="167"/>
      <c r="AY98" s="167"/>
      <c r="AZ98" s="167"/>
      <c r="BA98" s="167"/>
      <c r="BB98" s="167"/>
      <c r="BC98" s="167"/>
      <c r="BD98" s="167"/>
      <c r="BE98" s="167"/>
      <c r="BF98" s="167"/>
      <c r="BG98" s="167"/>
      <c r="BH98" s="168"/>
      <c r="BI98" s="190"/>
    </row>
    <row r="99" spans="2:61" ht="15" customHeight="1" x14ac:dyDescent="0.25">
      <c r="B99" s="522"/>
      <c r="C99" s="507" t="str">
        <f>IF(Roster!$B$17=0,"",Roster!$B$17)</f>
        <v/>
      </c>
      <c r="D99" s="296"/>
      <c r="E99" s="296"/>
      <c r="F99" s="296"/>
      <c r="G99" s="296"/>
      <c r="H99" s="296"/>
      <c r="I99" s="296"/>
      <c r="J99" s="296"/>
      <c r="K99" s="296"/>
      <c r="L99" s="296"/>
      <c r="M99" s="296"/>
      <c r="N99" s="297"/>
      <c r="O99" s="169"/>
      <c r="Q99" s="522"/>
      <c r="R99" s="524" t="str">
        <f>IF(Roster!$B$18=0,"","("&amp;Roster!$B$18&amp;")")</f>
        <v>(Star Player &amp; Mercenary)</v>
      </c>
      <c r="S99" s="296"/>
      <c r="T99" s="296"/>
      <c r="U99" s="296"/>
      <c r="V99" s="296"/>
      <c r="W99" s="296"/>
      <c r="X99" s="296"/>
      <c r="Y99" s="296"/>
      <c r="Z99" s="296"/>
      <c r="AA99" s="296"/>
      <c r="AB99" s="296"/>
      <c r="AC99" s="297"/>
      <c r="AD99" s="169"/>
      <c r="AE99" s="181"/>
      <c r="AF99" s="522"/>
      <c r="AG99" s="524" t="str">
        <f>IF(Roster!$B$18=0,"","("&amp;Roster!$B$18&amp;")")</f>
        <v>(Star Player &amp; Mercenary)</v>
      </c>
      <c r="AH99" s="296"/>
      <c r="AI99" s="296"/>
      <c r="AJ99" s="296"/>
      <c r="AK99" s="296"/>
      <c r="AL99" s="296"/>
      <c r="AM99" s="296"/>
      <c r="AN99" s="296"/>
      <c r="AO99" s="296"/>
      <c r="AP99" s="296"/>
      <c r="AQ99" s="296"/>
      <c r="AR99" s="297"/>
      <c r="AS99" s="169"/>
      <c r="AT99" s="181"/>
      <c r="AU99" s="522"/>
      <c r="AV99" s="524" t="str">
        <f>IF(Roster!$B$20=0,"","("&amp;Roster!$B$20&amp;")")</f>
        <v>(Mercenary)</v>
      </c>
      <c r="AW99" s="296"/>
      <c r="AX99" s="296"/>
      <c r="AY99" s="296"/>
      <c r="AZ99" s="296"/>
      <c r="BA99" s="296"/>
      <c r="BB99" s="296"/>
      <c r="BC99" s="296"/>
      <c r="BD99" s="296"/>
      <c r="BE99" s="296"/>
      <c r="BF99" s="296"/>
      <c r="BG99" s="297"/>
      <c r="BH99" s="169"/>
      <c r="BI99" s="190"/>
    </row>
    <row r="100" spans="2:61" ht="11.25" customHeight="1" x14ac:dyDescent="0.2">
      <c r="B100" s="523"/>
      <c r="C100" s="524" t="str">
        <f>IF(Roster!$D$17=0,"",Roster!$D$17)</f>
        <v/>
      </c>
      <c r="D100" s="296"/>
      <c r="E100" s="296"/>
      <c r="F100" s="296"/>
      <c r="G100" s="296"/>
      <c r="H100" s="296"/>
      <c r="I100" s="296"/>
      <c r="J100" s="296"/>
      <c r="K100" s="296"/>
      <c r="L100" s="296"/>
      <c r="M100" s="296"/>
      <c r="N100" s="297"/>
      <c r="O100" s="170"/>
      <c r="Q100" s="523"/>
      <c r="R100" s="554" t="str">
        <f>IF(Roster!$D$18=0,"",Roster!$D$18)</f>
        <v/>
      </c>
      <c r="S100" s="495"/>
      <c r="T100" s="495"/>
      <c r="U100" s="495"/>
      <c r="V100" s="495"/>
      <c r="W100" s="495"/>
      <c r="X100" s="495"/>
      <c r="Y100" s="495"/>
      <c r="Z100" s="495"/>
      <c r="AA100" s="495"/>
      <c r="AB100" s="495"/>
      <c r="AC100" s="496"/>
      <c r="AD100" s="170"/>
      <c r="AE100" s="181"/>
      <c r="AF100" s="523"/>
      <c r="AG100" s="554" t="str">
        <f>IF(Roster!$D$19=0,"",Roster!$D$19)</f>
        <v/>
      </c>
      <c r="AH100" s="495"/>
      <c r="AI100" s="495"/>
      <c r="AJ100" s="495"/>
      <c r="AK100" s="495"/>
      <c r="AL100" s="495"/>
      <c r="AM100" s="495"/>
      <c r="AN100" s="495"/>
      <c r="AO100" s="495"/>
      <c r="AP100" s="495"/>
      <c r="AQ100" s="495"/>
      <c r="AR100" s="496"/>
      <c r="AS100" s="170"/>
      <c r="AT100" s="181"/>
      <c r="AU100" s="523"/>
      <c r="AV100" s="554" t="str">
        <f>IF(Roster!$D$20=0,"",Roster!$D$20)</f>
        <v/>
      </c>
      <c r="AW100" s="495"/>
      <c r="AX100" s="495"/>
      <c r="AY100" s="495"/>
      <c r="AZ100" s="495"/>
      <c r="BA100" s="495"/>
      <c r="BB100" s="495"/>
      <c r="BC100" s="495"/>
      <c r="BD100" s="495"/>
      <c r="BE100" s="495"/>
      <c r="BF100" s="495"/>
      <c r="BG100" s="496"/>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7"/>
      <c r="S101" s="353"/>
      <c r="T101" s="353"/>
      <c r="U101" s="353"/>
      <c r="V101" s="353"/>
      <c r="W101" s="353"/>
      <c r="X101" s="353"/>
      <c r="Y101" s="353"/>
      <c r="Z101" s="353"/>
      <c r="AA101" s="353"/>
      <c r="AB101" s="353"/>
      <c r="AC101" s="498"/>
      <c r="AD101" s="169"/>
      <c r="AE101" s="181"/>
      <c r="AF101" s="173" t="str">
        <f>IF(Roster!$K$1=0,"",Roster!$K$1)</f>
        <v>MA</v>
      </c>
      <c r="AG101" s="497"/>
      <c r="AH101" s="353"/>
      <c r="AI101" s="353"/>
      <c r="AJ101" s="353"/>
      <c r="AK101" s="353"/>
      <c r="AL101" s="353"/>
      <c r="AM101" s="353"/>
      <c r="AN101" s="353"/>
      <c r="AO101" s="353"/>
      <c r="AP101" s="353"/>
      <c r="AQ101" s="353"/>
      <c r="AR101" s="498"/>
      <c r="AS101" s="169"/>
      <c r="AT101" s="181"/>
      <c r="AU101" s="173" t="str">
        <f>IF(Roster!$K$1=0,"",Roster!$K$1)</f>
        <v>MA</v>
      </c>
      <c r="AV101" s="497"/>
      <c r="AW101" s="353"/>
      <c r="AX101" s="353"/>
      <c r="AY101" s="353"/>
      <c r="AZ101" s="353"/>
      <c r="BA101" s="353"/>
      <c r="BB101" s="353"/>
      <c r="BC101" s="353"/>
      <c r="BD101" s="353"/>
      <c r="BE101" s="353"/>
      <c r="BF101" s="353"/>
      <c r="BG101" s="498"/>
      <c r="BH101" s="169"/>
      <c r="BI101" s="190"/>
    </row>
    <row r="102" spans="2:61" ht="37.5" customHeight="1" x14ac:dyDescent="0.2">
      <c r="B102" s="176" t="str">
        <f>IF(Roster!$K$17=0,"",Roster!$K$17)</f>
        <v/>
      </c>
      <c r="C102" s="174"/>
      <c r="D102" s="525"/>
      <c r="E102" s="526"/>
      <c r="F102" s="526"/>
      <c r="G102" s="526"/>
      <c r="H102" s="526"/>
      <c r="I102" s="526"/>
      <c r="J102" s="526"/>
      <c r="K102" s="526"/>
      <c r="L102" s="526"/>
      <c r="M102" s="526"/>
      <c r="N102" s="527"/>
      <c r="O102" s="169"/>
      <c r="Q102" s="176" t="str">
        <f>IF(Roster!$K$18=0,"",Roster!$K$18)</f>
        <v/>
      </c>
      <c r="R102" s="499"/>
      <c r="S102" s="500"/>
      <c r="T102" s="500"/>
      <c r="U102" s="500"/>
      <c r="V102" s="500"/>
      <c r="W102" s="500"/>
      <c r="X102" s="500"/>
      <c r="Y102" s="500"/>
      <c r="Z102" s="500"/>
      <c r="AA102" s="500"/>
      <c r="AB102" s="500"/>
      <c r="AC102" s="291"/>
      <c r="AD102" s="535"/>
      <c r="AE102" s="181"/>
      <c r="AF102" s="176" t="str">
        <f>IF(Roster!$K$19=0,"",Roster!$K$19)</f>
        <v/>
      </c>
      <c r="AG102" s="499"/>
      <c r="AH102" s="500"/>
      <c r="AI102" s="500"/>
      <c r="AJ102" s="500"/>
      <c r="AK102" s="500"/>
      <c r="AL102" s="500"/>
      <c r="AM102" s="500"/>
      <c r="AN102" s="500"/>
      <c r="AO102" s="500"/>
      <c r="AP102" s="500"/>
      <c r="AQ102" s="500"/>
      <c r="AR102" s="291"/>
      <c r="AS102" s="535"/>
      <c r="AT102" s="181"/>
      <c r="AU102" s="176" t="str">
        <f>IF(Roster!$K$20=0,"",Roster!$K$20)</f>
        <v/>
      </c>
      <c r="AV102" s="499"/>
      <c r="AW102" s="500"/>
      <c r="AX102" s="500"/>
      <c r="AY102" s="500"/>
      <c r="AZ102" s="500"/>
      <c r="BA102" s="500"/>
      <c r="BB102" s="500"/>
      <c r="BC102" s="500"/>
      <c r="BD102" s="500"/>
      <c r="BE102" s="500"/>
      <c r="BF102" s="500"/>
      <c r="BG102" s="291"/>
      <c r="BH102" s="535"/>
      <c r="BI102" s="190"/>
    </row>
    <row r="103" spans="2:61" ht="11.25" customHeight="1" x14ac:dyDescent="0.2">
      <c r="B103" s="173" t="str">
        <f>IF(Roster!$L$1=0,"",Roster!$L$1)</f>
        <v>ST</v>
      </c>
      <c r="C103" s="174"/>
      <c r="D103" s="528"/>
      <c r="E103" s="529"/>
      <c r="F103" s="529"/>
      <c r="G103" s="529"/>
      <c r="H103" s="529"/>
      <c r="I103" s="529"/>
      <c r="J103" s="529"/>
      <c r="K103" s="529"/>
      <c r="L103" s="529"/>
      <c r="M103" s="529"/>
      <c r="N103" s="530"/>
      <c r="O103" s="169"/>
      <c r="Q103" s="173" t="str">
        <f>IF(Roster!$L$1=0,"",Roster!$L$1)</f>
        <v>ST</v>
      </c>
      <c r="R103" s="538"/>
      <c r="S103" s="555" t="str">
        <f>IF(Roster!$K$25="Español","REGLA ESPECIAL","SPECIAL RULE")</f>
        <v>SPECIAL RULE</v>
      </c>
      <c r="T103" s="327"/>
      <c r="U103" s="327"/>
      <c r="V103" s="327"/>
      <c r="W103" s="327"/>
      <c r="X103" s="327"/>
      <c r="Y103" s="327"/>
      <c r="Z103" s="327"/>
      <c r="AA103" s="327"/>
      <c r="AB103" s="327"/>
      <c r="AC103" s="556"/>
      <c r="AD103" s="536"/>
      <c r="AE103" s="181"/>
      <c r="AF103" s="173" t="str">
        <f>IF(Roster!$L$1=0,"",Roster!$L$1)</f>
        <v>ST</v>
      </c>
      <c r="AG103" s="538"/>
      <c r="AH103" s="555" t="str">
        <f>IF(Roster!$K$25="Español","REGLA ESPECIAL","SPECIAL RULE")</f>
        <v>SPECIAL RULE</v>
      </c>
      <c r="AI103" s="327"/>
      <c r="AJ103" s="327"/>
      <c r="AK103" s="327"/>
      <c r="AL103" s="327"/>
      <c r="AM103" s="327"/>
      <c r="AN103" s="327"/>
      <c r="AO103" s="327"/>
      <c r="AP103" s="327"/>
      <c r="AQ103" s="327"/>
      <c r="AR103" s="556"/>
      <c r="AS103" s="536"/>
      <c r="AT103" s="181"/>
      <c r="AU103" s="173" t="str">
        <f>IF(Roster!$L$1=0,"",Roster!$L$1)</f>
        <v>ST</v>
      </c>
      <c r="AV103" s="538"/>
      <c r="AW103" s="555" t="str">
        <f>IF(Roster!$K$25="Italiano","REGOLE SPECIALI",(IF(Roster!$K$25="Español","REGLA ESPECIAL","SPECIAL RULE")))</f>
        <v>SPECIAL RULE</v>
      </c>
      <c r="AX103" s="327"/>
      <c r="AY103" s="327"/>
      <c r="AZ103" s="327"/>
      <c r="BA103" s="327"/>
      <c r="BB103" s="327"/>
      <c r="BC103" s="327"/>
      <c r="BD103" s="327"/>
      <c r="BE103" s="327"/>
      <c r="BF103" s="327"/>
      <c r="BG103" s="556"/>
      <c r="BH103" s="536"/>
      <c r="BI103" s="190"/>
    </row>
    <row r="104" spans="2:61" ht="37.5" customHeight="1" x14ac:dyDescent="0.2">
      <c r="B104" s="176" t="str">
        <f>IF(Roster!$L$17=0,"",Roster!$L$17)</f>
        <v/>
      </c>
      <c r="C104" s="174"/>
      <c r="D104" s="528"/>
      <c r="E104" s="529"/>
      <c r="F104" s="529"/>
      <c r="G104" s="529"/>
      <c r="H104" s="529"/>
      <c r="I104" s="529"/>
      <c r="J104" s="529"/>
      <c r="K104" s="529"/>
      <c r="L104" s="529"/>
      <c r="M104" s="529"/>
      <c r="N104" s="530"/>
      <c r="O104" s="169"/>
      <c r="Q104" s="176" t="str">
        <f>IF(Roster!$L$18=0,"",Roster!$L$18)</f>
        <v/>
      </c>
      <c r="R104" s="290"/>
      <c r="S104" s="539" t="str">
        <f>IF(Roster!$AA$18=0,"",Roster!$AA$18)</f>
        <v/>
      </c>
      <c r="T104" s="540"/>
      <c r="U104" s="540"/>
      <c r="V104" s="540"/>
      <c r="W104" s="540"/>
      <c r="X104" s="540"/>
      <c r="Y104" s="540"/>
      <c r="Z104" s="540"/>
      <c r="AA104" s="540"/>
      <c r="AB104" s="540"/>
      <c r="AC104" s="541"/>
      <c r="AD104" s="536"/>
      <c r="AE104" s="181"/>
      <c r="AF104" s="176" t="str">
        <f>IF(Roster!$L$19=0,"",Roster!$L$19)</f>
        <v/>
      </c>
      <c r="AG104" s="290"/>
      <c r="AH104" s="539" t="str">
        <f>IF(Roster!$AA$19=0,"",Roster!$AA$19)</f>
        <v/>
      </c>
      <c r="AI104" s="540"/>
      <c r="AJ104" s="540"/>
      <c r="AK104" s="540"/>
      <c r="AL104" s="540"/>
      <c r="AM104" s="540"/>
      <c r="AN104" s="540"/>
      <c r="AO104" s="540"/>
      <c r="AP104" s="540"/>
      <c r="AQ104" s="540"/>
      <c r="AR104" s="541"/>
      <c r="AS104" s="536"/>
      <c r="AT104" s="181"/>
      <c r="AU104" s="176" t="str">
        <f>IF(Roster!$L$20=0,"",Roster!$L$20)</f>
        <v/>
      </c>
      <c r="AV104" s="290"/>
      <c r="AW104" s="539" t="str">
        <f>IF(Roster!$AA$20=0,"",Roster!$AA$20)</f>
        <v/>
      </c>
      <c r="AX104" s="540"/>
      <c r="AY104" s="540"/>
      <c r="AZ104" s="540"/>
      <c r="BA104" s="540"/>
      <c r="BB104" s="540"/>
      <c r="BC104" s="540"/>
      <c r="BD104" s="540"/>
      <c r="BE104" s="540"/>
      <c r="BF104" s="540"/>
      <c r="BG104" s="541"/>
      <c r="BH104" s="536"/>
      <c r="BI104" s="190"/>
    </row>
    <row r="105" spans="2:61" ht="11.25" customHeight="1" x14ac:dyDescent="0.2">
      <c r="B105" s="173" t="str">
        <f>IF(Roster!$M$1=0,"",Roster!$M$1)</f>
        <v>AG</v>
      </c>
      <c r="C105" s="174"/>
      <c r="D105" s="528"/>
      <c r="E105" s="529"/>
      <c r="F105" s="529"/>
      <c r="G105" s="529"/>
      <c r="H105" s="529"/>
      <c r="I105" s="529"/>
      <c r="J105" s="529"/>
      <c r="K105" s="529"/>
      <c r="L105" s="529"/>
      <c r="M105" s="529"/>
      <c r="N105" s="530"/>
      <c r="O105" s="169"/>
      <c r="Q105" s="173" t="str">
        <f>IF(Roster!$M$1=0,"",Roster!$M$1)</f>
        <v>AG</v>
      </c>
      <c r="R105" s="290"/>
      <c r="S105" s="542"/>
      <c r="T105" s="543"/>
      <c r="U105" s="543"/>
      <c r="V105" s="543"/>
      <c r="W105" s="543"/>
      <c r="X105" s="543"/>
      <c r="Y105" s="543"/>
      <c r="Z105" s="543"/>
      <c r="AA105" s="543"/>
      <c r="AB105" s="543"/>
      <c r="AC105" s="544"/>
      <c r="AD105" s="536"/>
      <c r="AE105" s="181"/>
      <c r="AF105" s="173" t="str">
        <f>IF(Roster!$M$1=0,"",Roster!$M$1)</f>
        <v>AG</v>
      </c>
      <c r="AG105" s="290"/>
      <c r="AH105" s="542"/>
      <c r="AI105" s="543"/>
      <c r="AJ105" s="543"/>
      <c r="AK105" s="543"/>
      <c r="AL105" s="543"/>
      <c r="AM105" s="543"/>
      <c r="AN105" s="543"/>
      <c r="AO105" s="543"/>
      <c r="AP105" s="543"/>
      <c r="AQ105" s="543"/>
      <c r="AR105" s="544"/>
      <c r="AS105" s="536"/>
      <c r="AT105" s="181"/>
      <c r="AU105" s="173" t="str">
        <f>IF(Roster!$M$1=0,"",Roster!$M$1)</f>
        <v>AG</v>
      </c>
      <c r="AV105" s="290"/>
      <c r="AW105" s="542"/>
      <c r="AX105" s="543"/>
      <c r="AY105" s="543"/>
      <c r="AZ105" s="543"/>
      <c r="BA105" s="543"/>
      <c r="BB105" s="543"/>
      <c r="BC105" s="543"/>
      <c r="BD105" s="543"/>
      <c r="BE105" s="543"/>
      <c r="BF105" s="543"/>
      <c r="BG105" s="544"/>
      <c r="BH105" s="536"/>
      <c r="BI105" s="190"/>
    </row>
    <row r="106" spans="2:61" ht="37.5" customHeight="1" x14ac:dyDescent="0.2">
      <c r="B106" s="176" t="str">
        <f>IF(Roster!$M$17=0&amp;"+","",Roster!$M$17)</f>
        <v/>
      </c>
      <c r="C106" s="174"/>
      <c r="D106" s="528"/>
      <c r="E106" s="529"/>
      <c r="F106" s="529"/>
      <c r="G106" s="529"/>
      <c r="H106" s="529"/>
      <c r="I106" s="529"/>
      <c r="J106" s="529"/>
      <c r="K106" s="529"/>
      <c r="L106" s="529"/>
      <c r="M106" s="529"/>
      <c r="N106" s="530"/>
      <c r="O106" s="169"/>
      <c r="Q106" s="176" t="str">
        <f>IF(Roster!$M$18=0,"",Roster!$M$18)</f>
        <v/>
      </c>
      <c r="R106" s="290"/>
      <c r="S106" s="542"/>
      <c r="T106" s="543"/>
      <c r="U106" s="543"/>
      <c r="V106" s="543"/>
      <c r="W106" s="543"/>
      <c r="X106" s="543"/>
      <c r="Y106" s="543"/>
      <c r="Z106" s="543"/>
      <c r="AA106" s="543"/>
      <c r="AB106" s="543"/>
      <c r="AC106" s="544"/>
      <c r="AD106" s="536"/>
      <c r="AE106" s="181"/>
      <c r="AF106" s="176" t="str">
        <f>IF(Roster!$M$19=0,"",Roster!$M$19)</f>
        <v/>
      </c>
      <c r="AG106" s="290"/>
      <c r="AH106" s="542"/>
      <c r="AI106" s="543"/>
      <c r="AJ106" s="543"/>
      <c r="AK106" s="543"/>
      <c r="AL106" s="543"/>
      <c r="AM106" s="543"/>
      <c r="AN106" s="543"/>
      <c r="AO106" s="543"/>
      <c r="AP106" s="543"/>
      <c r="AQ106" s="543"/>
      <c r="AR106" s="544"/>
      <c r="AS106" s="536"/>
      <c r="AT106" s="181"/>
      <c r="AU106" s="176" t="str">
        <f>IF(Roster!$M$20=0,"",Roster!$M$20)</f>
        <v/>
      </c>
      <c r="AV106" s="290"/>
      <c r="AW106" s="542"/>
      <c r="AX106" s="543"/>
      <c r="AY106" s="543"/>
      <c r="AZ106" s="543"/>
      <c r="BA106" s="543"/>
      <c r="BB106" s="543"/>
      <c r="BC106" s="543"/>
      <c r="BD106" s="543"/>
      <c r="BE106" s="543"/>
      <c r="BF106" s="543"/>
      <c r="BG106" s="544"/>
      <c r="BH106" s="536"/>
      <c r="BI106" s="190"/>
    </row>
    <row r="107" spans="2:61" ht="11.25" customHeight="1" x14ac:dyDescent="0.2">
      <c r="B107" s="173" t="str">
        <f>IF(Roster!$N$1=0,"",Roster!$N$1)</f>
        <v>PA</v>
      </c>
      <c r="C107" s="174"/>
      <c r="D107" s="528"/>
      <c r="E107" s="529"/>
      <c r="F107" s="529"/>
      <c r="G107" s="529"/>
      <c r="H107" s="529"/>
      <c r="I107" s="529"/>
      <c r="J107" s="529"/>
      <c r="K107" s="529"/>
      <c r="L107" s="529"/>
      <c r="M107" s="529"/>
      <c r="N107" s="530"/>
      <c r="O107" s="178"/>
      <c r="Q107" s="173" t="str">
        <f>IF(Roster!$N$1=0,"",Roster!$N$1)</f>
        <v>PA</v>
      </c>
      <c r="R107" s="290"/>
      <c r="S107" s="542"/>
      <c r="T107" s="543"/>
      <c r="U107" s="543"/>
      <c r="V107" s="543"/>
      <c r="W107" s="543"/>
      <c r="X107" s="543"/>
      <c r="Y107" s="543"/>
      <c r="Z107" s="543"/>
      <c r="AA107" s="543"/>
      <c r="AB107" s="543"/>
      <c r="AC107" s="544"/>
      <c r="AD107" s="536"/>
      <c r="AE107" s="181"/>
      <c r="AF107" s="173" t="str">
        <f>IF(Roster!$N$1=0,"",Roster!$N$1)</f>
        <v>PA</v>
      </c>
      <c r="AG107" s="290"/>
      <c r="AH107" s="542"/>
      <c r="AI107" s="543"/>
      <c r="AJ107" s="543"/>
      <c r="AK107" s="543"/>
      <c r="AL107" s="543"/>
      <c r="AM107" s="543"/>
      <c r="AN107" s="543"/>
      <c r="AO107" s="543"/>
      <c r="AP107" s="543"/>
      <c r="AQ107" s="543"/>
      <c r="AR107" s="544"/>
      <c r="AS107" s="536"/>
      <c r="AT107" s="181"/>
      <c r="AU107" s="173" t="str">
        <f>IF(Roster!$N$1=0,"",Roster!$N$1)</f>
        <v>PA</v>
      </c>
      <c r="AV107" s="290"/>
      <c r="AW107" s="542"/>
      <c r="AX107" s="543"/>
      <c r="AY107" s="543"/>
      <c r="AZ107" s="543"/>
      <c r="BA107" s="543"/>
      <c r="BB107" s="543"/>
      <c r="BC107" s="543"/>
      <c r="BD107" s="543"/>
      <c r="BE107" s="543"/>
      <c r="BF107" s="543"/>
      <c r="BG107" s="544"/>
      <c r="BH107" s="536"/>
      <c r="BI107" s="190"/>
    </row>
    <row r="108" spans="2:61" ht="6" customHeight="1" x14ac:dyDescent="0.2">
      <c r="B108" s="518" t="str">
        <f>IF(Roster!$N$17=0&amp;"+","",Roster!$N$17)</f>
        <v/>
      </c>
      <c r="C108" s="174"/>
      <c r="D108" s="531"/>
      <c r="E108" s="532"/>
      <c r="F108" s="532"/>
      <c r="G108" s="532"/>
      <c r="H108" s="532"/>
      <c r="I108" s="532"/>
      <c r="J108" s="532"/>
      <c r="K108" s="532"/>
      <c r="L108" s="532"/>
      <c r="M108" s="532"/>
      <c r="N108" s="533"/>
      <c r="O108" s="180"/>
      <c r="Q108" s="518" t="str">
        <f>IF(Roster!$N$18=0,"",Roster!$N$18)</f>
        <v/>
      </c>
      <c r="R108" s="290"/>
      <c r="S108" s="542"/>
      <c r="T108" s="543"/>
      <c r="U108" s="543"/>
      <c r="V108" s="543"/>
      <c r="W108" s="543"/>
      <c r="X108" s="543"/>
      <c r="Y108" s="543"/>
      <c r="Z108" s="543"/>
      <c r="AA108" s="543"/>
      <c r="AB108" s="543"/>
      <c r="AC108" s="544"/>
      <c r="AD108" s="536"/>
      <c r="AE108" s="181"/>
      <c r="AF108" s="518" t="str">
        <f>IF(Roster!$N$19=0,"",Roster!$N$19)</f>
        <v/>
      </c>
      <c r="AG108" s="290"/>
      <c r="AH108" s="542"/>
      <c r="AI108" s="543"/>
      <c r="AJ108" s="543"/>
      <c r="AK108" s="543"/>
      <c r="AL108" s="543"/>
      <c r="AM108" s="543"/>
      <c r="AN108" s="543"/>
      <c r="AO108" s="543"/>
      <c r="AP108" s="543"/>
      <c r="AQ108" s="543"/>
      <c r="AR108" s="544"/>
      <c r="AS108" s="536"/>
      <c r="AT108" s="181"/>
      <c r="AU108" s="518" t="str">
        <f>IF(Roster!$N$20=0,"",Roster!$N$20)</f>
        <v/>
      </c>
      <c r="AV108" s="290"/>
      <c r="AW108" s="542"/>
      <c r="AX108" s="543"/>
      <c r="AY108" s="543"/>
      <c r="AZ108" s="543"/>
      <c r="BA108" s="543"/>
      <c r="BB108" s="543"/>
      <c r="BC108" s="543"/>
      <c r="BD108" s="543"/>
      <c r="BE108" s="543"/>
      <c r="BF108" s="543"/>
      <c r="BG108" s="544"/>
      <c r="BH108" s="536"/>
      <c r="BI108" s="190"/>
    </row>
    <row r="109" spans="2:61" ht="4.5" customHeight="1" x14ac:dyDescent="0.2">
      <c r="B109" s="519"/>
      <c r="C109" s="172"/>
      <c r="D109" s="181"/>
      <c r="E109" s="179"/>
      <c r="F109" s="181"/>
      <c r="G109" s="179"/>
      <c r="H109" s="181"/>
      <c r="I109" s="179"/>
      <c r="J109" s="181"/>
      <c r="K109" s="179"/>
      <c r="L109" s="181"/>
      <c r="M109" s="179"/>
      <c r="N109" s="181"/>
      <c r="O109" s="180"/>
      <c r="Q109" s="519"/>
      <c r="R109" s="290"/>
      <c r="S109" s="542"/>
      <c r="T109" s="543"/>
      <c r="U109" s="543"/>
      <c r="V109" s="543"/>
      <c r="W109" s="543"/>
      <c r="X109" s="543"/>
      <c r="Y109" s="543"/>
      <c r="Z109" s="543"/>
      <c r="AA109" s="543"/>
      <c r="AB109" s="543"/>
      <c r="AC109" s="544"/>
      <c r="AD109" s="536"/>
      <c r="AE109" s="181"/>
      <c r="AF109" s="519"/>
      <c r="AG109" s="290"/>
      <c r="AH109" s="542"/>
      <c r="AI109" s="543"/>
      <c r="AJ109" s="543"/>
      <c r="AK109" s="543"/>
      <c r="AL109" s="543"/>
      <c r="AM109" s="543"/>
      <c r="AN109" s="543"/>
      <c r="AO109" s="543"/>
      <c r="AP109" s="543"/>
      <c r="AQ109" s="543"/>
      <c r="AR109" s="544"/>
      <c r="AS109" s="536"/>
      <c r="AT109" s="181"/>
      <c r="AU109" s="519"/>
      <c r="AV109" s="290"/>
      <c r="AW109" s="542"/>
      <c r="AX109" s="543"/>
      <c r="AY109" s="543"/>
      <c r="AZ109" s="543"/>
      <c r="BA109" s="543"/>
      <c r="BB109" s="543"/>
      <c r="BC109" s="543"/>
      <c r="BD109" s="543"/>
      <c r="BE109" s="543"/>
      <c r="BF109" s="543"/>
      <c r="BG109" s="544"/>
      <c r="BH109" s="536"/>
      <c r="BI109" s="190"/>
    </row>
    <row r="110" spans="2:61" ht="11.25" customHeight="1" x14ac:dyDescent="0.2">
      <c r="B110" s="519"/>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19"/>
      <c r="R110" s="290"/>
      <c r="S110" s="542"/>
      <c r="T110" s="543"/>
      <c r="U110" s="543"/>
      <c r="V110" s="543"/>
      <c r="W110" s="543"/>
      <c r="X110" s="543"/>
      <c r="Y110" s="543"/>
      <c r="Z110" s="543"/>
      <c r="AA110" s="543"/>
      <c r="AB110" s="543"/>
      <c r="AC110" s="544"/>
      <c r="AD110" s="536"/>
      <c r="AE110" s="181"/>
      <c r="AF110" s="519"/>
      <c r="AG110" s="290"/>
      <c r="AH110" s="542"/>
      <c r="AI110" s="543"/>
      <c r="AJ110" s="543"/>
      <c r="AK110" s="543"/>
      <c r="AL110" s="543"/>
      <c r="AM110" s="543"/>
      <c r="AN110" s="543"/>
      <c r="AO110" s="543"/>
      <c r="AP110" s="543"/>
      <c r="AQ110" s="543"/>
      <c r="AR110" s="544"/>
      <c r="AS110" s="536"/>
      <c r="AT110" s="181"/>
      <c r="AU110" s="519"/>
      <c r="AV110" s="290"/>
      <c r="AW110" s="542"/>
      <c r="AX110" s="543"/>
      <c r="AY110" s="543"/>
      <c r="AZ110" s="543"/>
      <c r="BA110" s="543"/>
      <c r="BB110" s="543"/>
      <c r="BC110" s="543"/>
      <c r="BD110" s="543"/>
      <c r="BE110" s="543"/>
      <c r="BF110" s="543"/>
      <c r="BG110" s="544"/>
      <c r="BH110" s="536"/>
      <c r="BI110" s="190"/>
    </row>
    <row r="111" spans="2:61" ht="15" customHeight="1" x14ac:dyDescent="0.2">
      <c r="B111" s="519"/>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19"/>
      <c r="R111" s="290"/>
      <c r="S111" s="545"/>
      <c r="T111" s="546"/>
      <c r="U111" s="546"/>
      <c r="V111" s="546"/>
      <c r="W111" s="546"/>
      <c r="X111" s="546"/>
      <c r="Y111" s="546"/>
      <c r="Z111" s="546"/>
      <c r="AA111" s="546"/>
      <c r="AB111" s="546"/>
      <c r="AC111" s="547"/>
      <c r="AD111" s="536"/>
      <c r="AE111" s="181"/>
      <c r="AF111" s="519"/>
      <c r="AG111" s="290"/>
      <c r="AH111" s="545"/>
      <c r="AI111" s="546"/>
      <c r="AJ111" s="546"/>
      <c r="AK111" s="546"/>
      <c r="AL111" s="546"/>
      <c r="AM111" s="546"/>
      <c r="AN111" s="546"/>
      <c r="AO111" s="546"/>
      <c r="AP111" s="546"/>
      <c r="AQ111" s="546"/>
      <c r="AR111" s="547"/>
      <c r="AS111" s="536"/>
      <c r="AT111" s="181"/>
      <c r="AU111" s="519"/>
      <c r="AV111" s="290"/>
      <c r="AW111" s="545"/>
      <c r="AX111" s="546"/>
      <c r="AY111" s="546"/>
      <c r="AZ111" s="546"/>
      <c r="BA111" s="546"/>
      <c r="BB111" s="546"/>
      <c r="BC111" s="546"/>
      <c r="BD111" s="546"/>
      <c r="BE111" s="546"/>
      <c r="BF111" s="546"/>
      <c r="BG111" s="547"/>
      <c r="BH111" s="536"/>
      <c r="BI111" s="190"/>
    </row>
    <row r="112" spans="2:61" ht="4.5" customHeight="1" x14ac:dyDescent="0.2">
      <c r="B112" s="403"/>
      <c r="C112" s="175"/>
      <c r="D112" s="208"/>
      <c r="E112" s="207"/>
      <c r="F112" s="208"/>
      <c r="G112" s="207"/>
      <c r="H112" s="208"/>
      <c r="I112" s="207"/>
      <c r="J112" s="208"/>
      <c r="K112" s="207"/>
      <c r="L112" s="208"/>
      <c r="M112" s="207"/>
      <c r="N112" s="208"/>
      <c r="O112" s="180"/>
      <c r="Q112" s="403"/>
      <c r="R112" s="290"/>
      <c r="S112" s="548"/>
      <c r="T112" s="293"/>
      <c r="U112" s="293"/>
      <c r="V112" s="293"/>
      <c r="W112" s="293"/>
      <c r="X112" s="293"/>
      <c r="Y112" s="293"/>
      <c r="Z112" s="293"/>
      <c r="AA112" s="293"/>
      <c r="AB112" s="293"/>
      <c r="AC112" s="318"/>
      <c r="AD112" s="536"/>
      <c r="AE112" s="181"/>
      <c r="AF112" s="403"/>
      <c r="AG112" s="290"/>
      <c r="AH112" s="548"/>
      <c r="AI112" s="293"/>
      <c r="AJ112" s="293"/>
      <c r="AK112" s="293"/>
      <c r="AL112" s="293"/>
      <c r="AM112" s="293"/>
      <c r="AN112" s="293"/>
      <c r="AO112" s="293"/>
      <c r="AP112" s="293"/>
      <c r="AQ112" s="293"/>
      <c r="AR112" s="318"/>
      <c r="AS112" s="536"/>
      <c r="AT112" s="181"/>
      <c r="AU112" s="403"/>
      <c r="AV112" s="290"/>
      <c r="AW112" s="548"/>
      <c r="AX112" s="293"/>
      <c r="AY112" s="293"/>
      <c r="AZ112" s="293"/>
      <c r="BA112" s="293"/>
      <c r="BB112" s="293"/>
      <c r="BC112" s="293"/>
      <c r="BD112" s="293"/>
      <c r="BE112" s="293"/>
      <c r="BF112" s="293"/>
      <c r="BG112" s="318"/>
      <c r="BH112" s="536"/>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49" t="str">
        <f>IF(Roster!$K$25="Español","HABILIDADES Y RASGOS","SKILLS &amp; TRAITS")</f>
        <v>SKILLS &amp; TRAITS</v>
      </c>
      <c r="T113" s="296"/>
      <c r="U113" s="296"/>
      <c r="V113" s="296"/>
      <c r="W113" s="296"/>
      <c r="X113" s="296"/>
      <c r="Y113" s="296"/>
      <c r="Z113" s="296"/>
      <c r="AA113" s="296"/>
      <c r="AB113" s="296"/>
      <c r="AC113" s="550"/>
      <c r="AD113" s="536"/>
      <c r="AE113" s="181"/>
      <c r="AF113" s="173" t="str">
        <f>IF(Roster!$O$1=0,"",Roster!$O$1)</f>
        <v>AV</v>
      </c>
      <c r="AG113" s="290"/>
      <c r="AH113" s="549" t="str">
        <f>IF(Roster!$K$25="Español","HABILIDADES Y RASGOS","SKILLS &amp; TRAITS")</f>
        <v>SKILLS &amp; TRAITS</v>
      </c>
      <c r="AI113" s="296"/>
      <c r="AJ113" s="296"/>
      <c r="AK113" s="296"/>
      <c r="AL113" s="296"/>
      <c r="AM113" s="296"/>
      <c r="AN113" s="296"/>
      <c r="AO113" s="296"/>
      <c r="AP113" s="296"/>
      <c r="AQ113" s="296"/>
      <c r="AR113" s="550"/>
      <c r="AS113" s="536"/>
      <c r="AT113" s="181"/>
      <c r="AU113" s="173" t="str">
        <f>IF(Roster!$O$1=0,"",Roster!$O$1)</f>
        <v>AV</v>
      </c>
      <c r="AV113" s="290"/>
      <c r="AW113" s="549" t="str">
        <f>IF(Roster!$K$25="Italiano","ABILITÀ &amp; TRATTI",(IF(Roster!$K$25="Español","HABILIDADES Y RASGOS","SKILLS &amp; TRAITS")))</f>
        <v>SKILLS &amp; TRAITS</v>
      </c>
      <c r="AX113" s="296"/>
      <c r="AY113" s="296"/>
      <c r="AZ113" s="296"/>
      <c r="BA113" s="296"/>
      <c r="BB113" s="296"/>
      <c r="BC113" s="296"/>
      <c r="BD113" s="296"/>
      <c r="BE113" s="296"/>
      <c r="BF113" s="296"/>
      <c r="BG113" s="550"/>
      <c r="BH113" s="536"/>
      <c r="BI113" s="190"/>
    </row>
    <row r="114" spans="2:61" ht="15" customHeight="1" x14ac:dyDescent="0.2">
      <c r="B114" s="518"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18" t="str">
        <f>IF(Roster!$O$18=0,"",Roster!$O$18)</f>
        <v/>
      </c>
      <c r="R114" s="290"/>
      <c r="S114" s="539" t="str">
        <f>IF(Roster!$P$18=0,"",Roster!$P$18)</f>
        <v/>
      </c>
      <c r="T114" s="540"/>
      <c r="U114" s="540"/>
      <c r="V114" s="540"/>
      <c r="W114" s="540"/>
      <c r="X114" s="540"/>
      <c r="Y114" s="540"/>
      <c r="Z114" s="540"/>
      <c r="AA114" s="540"/>
      <c r="AB114" s="540"/>
      <c r="AC114" s="541"/>
      <c r="AD114" s="536"/>
      <c r="AE114" s="181"/>
      <c r="AF114" s="518" t="str">
        <f>IF(Roster!$O$19=0,"",Roster!$O$19)</f>
        <v/>
      </c>
      <c r="AG114" s="290"/>
      <c r="AH114" s="539" t="str">
        <f>IF(Roster!$P$19=0,"",Roster!$P$19)</f>
        <v/>
      </c>
      <c r="AI114" s="540"/>
      <c r="AJ114" s="540"/>
      <c r="AK114" s="540"/>
      <c r="AL114" s="540"/>
      <c r="AM114" s="540"/>
      <c r="AN114" s="540"/>
      <c r="AO114" s="540"/>
      <c r="AP114" s="540"/>
      <c r="AQ114" s="540"/>
      <c r="AR114" s="541"/>
      <c r="AS114" s="536"/>
      <c r="AT114" s="181"/>
      <c r="AU114" s="518" t="str">
        <f>IF(Roster!$O$20=0,"",Roster!$O$20)</f>
        <v/>
      </c>
      <c r="AV114" s="290"/>
      <c r="AW114" s="539" t="str">
        <f>IF(Roster!$P$20=0,"",Roster!$P$20)</f>
        <v/>
      </c>
      <c r="AX114" s="540"/>
      <c r="AY114" s="540"/>
      <c r="AZ114" s="540"/>
      <c r="BA114" s="540"/>
      <c r="BB114" s="540"/>
      <c r="BC114" s="540"/>
      <c r="BD114" s="540"/>
      <c r="BE114" s="540"/>
      <c r="BF114" s="540"/>
      <c r="BG114" s="541"/>
      <c r="BH114" s="536"/>
      <c r="BI114" s="190"/>
    </row>
    <row r="115" spans="2:61" ht="4.5" customHeight="1" x14ac:dyDescent="0.2">
      <c r="B115" s="519"/>
      <c r="C115" s="175"/>
      <c r="D115" s="207"/>
      <c r="E115" s="207"/>
      <c r="F115" s="207"/>
      <c r="G115" s="207"/>
      <c r="H115" s="207"/>
      <c r="I115" s="207"/>
      <c r="J115" s="207"/>
      <c r="K115" s="207"/>
      <c r="L115" s="207"/>
      <c r="M115" s="207"/>
      <c r="N115" s="210"/>
      <c r="O115" s="182"/>
      <c r="Q115" s="519"/>
      <c r="R115" s="290"/>
      <c r="S115" s="542"/>
      <c r="T115" s="543"/>
      <c r="U115" s="543"/>
      <c r="V115" s="543"/>
      <c r="W115" s="543"/>
      <c r="X115" s="543"/>
      <c r="Y115" s="543"/>
      <c r="Z115" s="543"/>
      <c r="AA115" s="543"/>
      <c r="AB115" s="543"/>
      <c r="AC115" s="544"/>
      <c r="AD115" s="536"/>
      <c r="AE115" s="181"/>
      <c r="AF115" s="519"/>
      <c r="AG115" s="290"/>
      <c r="AH115" s="542"/>
      <c r="AI115" s="543"/>
      <c r="AJ115" s="543"/>
      <c r="AK115" s="543"/>
      <c r="AL115" s="543"/>
      <c r="AM115" s="543"/>
      <c r="AN115" s="543"/>
      <c r="AO115" s="543"/>
      <c r="AP115" s="543"/>
      <c r="AQ115" s="543"/>
      <c r="AR115" s="544"/>
      <c r="AS115" s="536"/>
      <c r="AT115" s="181"/>
      <c r="AU115" s="519"/>
      <c r="AV115" s="290"/>
      <c r="AW115" s="542"/>
      <c r="AX115" s="543"/>
      <c r="AY115" s="543"/>
      <c r="AZ115" s="543"/>
      <c r="BA115" s="543"/>
      <c r="BB115" s="543"/>
      <c r="BC115" s="543"/>
      <c r="BD115" s="543"/>
      <c r="BE115" s="543"/>
      <c r="BF115" s="543"/>
      <c r="BG115" s="544"/>
      <c r="BH115" s="536"/>
      <c r="BI115" s="190"/>
    </row>
    <row r="116" spans="2:61" ht="11.25" customHeight="1" x14ac:dyDescent="0.2">
      <c r="B116" s="519"/>
      <c r="C116" s="175"/>
      <c r="D116" s="515" t="str">
        <f>IF(Roster!$K$25="Italiano","ABILITÀ &amp; TRATTI",(IF(Roster!$K$25="Español","HABILIDADES Y RASGOS","SKILLS &amp; TRAITS")))</f>
        <v>SKILLS &amp; TRAITS</v>
      </c>
      <c r="E116" s="516"/>
      <c r="F116" s="516"/>
      <c r="G116" s="516"/>
      <c r="H116" s="516"/>
      <c r="I116" s="516"/>
      <c r="J116" s="516"/>
      <c r="K116" s="516"/>
      <c r="L116" s="516"/>
      <c r="M116" s="516"/>
      <c r="N116" s="517"/>
      <c r="O116" s="182"/>
      <c r="Q116" s="519"/>
      <c r="R116" s="290"/>
      <c r="S116" s="542"/>
      <c r="T116" s="543"/>
      <c r="U116" s="543"/>
      <c r="V116" s="543"/>
      <c r="W116" s="543"/>
      <c r="X116" s="543"/>
      <c r="Y116" s="543"/>
      <c r="Z116" s="543"/>
      <c r="AA116" s="543"/>
      <c r="AB116" s="543"/>
      <c r="AC116" s="544"/>
      <c r="AD116" s="536"/>
      <c r="AE116" s="181"/>
      <c r="AF116" s="519"/>
      <c r="AG116" s="290"/>
      <c r="AH116" s="542"/>
      <c r="AI116" s="543"/>
      <c r="AJ116" s="543"/>
      <c r="AK116" s="543"/>
      <c r="AL116" s="543"/>
      <c r="AM116" s="543"/>
      <c r="AN116" s="543"/>
      <c r="AO116" s="543"/>
      <c r="AP116" s="543"/>
      <c r="AQ116" s="543"/>
      <c r="AR116" s="544"/>
      <c r="AS116" s="536"/>
      <c r="AT116" s="181"/>
      <c r="AU116" s="519"/>
      <c r="AV116" s="290"/>
      <c r="AW116" s="542"/>
      <c r="AX116" s="543"/>
      <c r="AY116" s="543"/>
      <c r="AZ116" s="543"/>
      <c r="BA116" s="543"/>
      <c r="BB116" s="543"/>
      <c r="BC116" s="543"/>
      <c r="BD116" s="543"/>
      <c r="BE116" s="543"/>
      <c r="BF116" s="543"/>
      <c r="BG116" s="544"/>
      <c r="BH116" s="536"/>
      <c r="BI116" s="190"/>
    </row>
    <row r="117" spans="2:61" ht="6.75" customHeight="1" x14ac:dyDescent="0.2">
      <c r="B117" s="403"/>
      <c r="C117" s="175"/>
      <c r="D117" s="508" t="str">
        <f>IF(Roster!$P$17=0&amp;AQ98,"",Roster!$P$17)</f>
        <v/>
      </c>
      <c r="E117" s="488"/>
      <c r="F117" s="488"/>
      <c r="G117" s="488"/>
      <c r="H117" s="488"/>
      <c r="I117" s="488"/>
      <c r="J117" s="488"/>
      <c r="K117" s="488"/>
      <c r="L117" s="488"/>
      <c r="M117" s="488"/>
      <c r="N117" s="509"/>
      <c r="O117" s="182"/>
      <c r="Q117" s="403"/>
      <c r="R117" s="290"/>
      <c r="S117" s="542"/>
      <c r="T117" s="543"/>
      <c r="U117" s="543"/>
      <c r="V117" s="543"/>
      <c r="W117" s="543"/>
      <c r="X117" s="543"/>
      <c r="Y117" s="543"/>
      <c r="Z117" s="543"/>
      <c r="AA117" s="543"/>
      <c r="AB117" s="543"/>
      <c r="AC117" s="544"/>
      <c r="AD117" s="536"/>
      <c r="AE117" s="181"/>
      <c r="AF117" s="403"/>
      <c r="AG117" s="290"/>
      <c r="AH117" s="542"/>
      <c r="AI117" s="543"/>
      <c r="AJ117" s="543"/>
      <c r="AK117" s="543"/>
      <c r="AL117" s="543"/>
      <c r="AM117" s="543"/>
      <c r="AN117" s="543"/>
      <c r="AO117" s="543"/>
      <c r="AP117" s="543"/>
      <c r="AQ117" s="543"/>
      <c r="AR117" s="544"/>
      <c r="AS117" s="536"/>
      <c r="AT117" s="181"/>
      <c r="AU117" s="403"/>
      <c r="AV117" s="290"/>
      <c r="AW117" s="542"/>
      <c r="AX117" s="543"/>
      <c r="AY117" s="543"/>
      <c r="AZ117" s="543"/>
      <c r="BA117" s="543"/>
      <c r="BB117" s="543"/>
      <c r="BC117" s="543"/>
      <c r="BD117" s="543"/>
      <c r="BE117" s="543"/>
      <c r="BF117" s="543"/>
      <c r="BG117" s="544"/>
      <c r="BH117" s="536"/>
      <c r="BI117" s="190"/>
    </row>
    <row r="118" spans="2:61" ht="11.25" customHeight="1" x14ac:dyDescent="0.2">
      <c r="B118" s="173" t="str">
        <f>IF(Roster!$AO$1=0,"",Roster!$AO$1)</f>
        <v>COST</v>
      </c>
      <c r="C118" s="174"/>
      <c r="D118" s="510"/>
      <c r="E118" s="511"/>
      <c r="F118" s="511"/>
      <c r="G118" s="511"/>
      <c r="H118" s="511"/>
      <c r="I118" s="511"/>
      <c r="J118" s="511"/>
      <c r="K118" s="511"/>
      <c r="L118" s="511"/>
      <c r="M118" s="511"/>
      <c r="N118" s="509"/>
      <c r="O118" s="185"/>
      <c r="Q118" s="173" t="str">
        <f>IF(Roster!$AO$1=0,"",Roster!$AO$1)</f>
        <v>COST</v>
      </c>
      <c r="R118" s="290"/>
      <c r="S118" s="542"/>
      <c r="T118" s="543"/>
      <c r="U118" s="543"/>
      <c r="V118" s="543"/>
      <c r="W118" s="543"/>
      <c r="X118" s="543"/>
      <c r="Y118" s="543"/>
      <c r="Z118" s="543"/>
      <c r="AA118" s="543"/>
      <c r="AB118" s="543"/>
      <c r="AC118" s="544"/>
      <c r="AD118" s="536"/>
      <c r="AE118" s="181"/>
      <c r="AF118" s="173" t="str">
        <f>IF(Roster!$AO$1=0,"",Roster!$AO$1)</f>
        <v>COST</v>
      </c>
      <c r="AG118" s="290"/>
      <c r="AH118" s="542"/>
      <c r="AI118" s="543"/>
      <c r="AJ118" s="543"/>
      <c r="AK118" s="543"/>
      <c r="AL118" s="543"/>
      <c r="AM118" s="543"/>
      <c r="AN118" s="543"/>
      <c r="AO118" s="543"/>
      <c r="AP118" s="543"/>
      <c r="AQ118" s="543"/>
      <c r="AR118" s="544"/>
      <c r="AS118" s="536"/>
      <c r="AT118" s="181"/>
      <c r="AU118" s="173" t="str">
        <f>IF(Roster!$AO$1=0,"",Roster!$AO$1)</f>
        <v>COST</v>
      </c>
      <c r="AV118" s="290"/>
      <c r="AW118" s="542"/>
      <c r="AX118" s="543"/>
      <c r="AY118" s="543"/>
      <c r="AZ118" s="543"/>
      <c r="BA118" s="543"/>
      <c r="BB118" s="543"/>
      <c r="BC118" s="543"/>
      <c r="BD118" s="543"/>
      <c r="BE118" s="543"/>
      <c r="BF118" s="543"/>
      <c r="BG118" s="544"/>
      <c r="BH118" s="536"/>
      <c r="BI118" s="190"/>
    </row>
    <row r="119" spans="2:61" ht="34.5" customHeight="1" x14ac:dyDescent="0.2">
      <c r="B119" s="187" t="str">
        <f>IF(Roster!$AO$17=0,"",Roster!$AO$17)</f>
        <v/>
      </c>
      <c r="C119" s="188"/>
      <c r="D119" s="512"/>
      <c r="E119" s="513"/>
      <c r="F119" s="513"/>
      <c r="G119" s="513"/>
      <c r="H119" s="513"/>
      <c r="I119" s="513"/>
      <c r="J119" s="513"/>
      <c r="K119" s="513"/>
      <c r="L119" s="513"/>
      <c r="M119" s="513"/>
      <c r="N119" s="514"/>
      <c r="O119" s="185"/>
      <c r="Q119" s="187" t="str">
        <f>IF(Roster!$AO$18=0,"",Roster!$AO$18)</f>
        <v/>
      </c>
      <c r="R119" s="450"/>
      <c r="S119" s="551"/>
      <c r="T119" s="552"/>
      <c r="U119" s="552"/>
      <c r="V119" s="552"/>
      <c r="W119" s="552"/>
      <c r="X119" s="552"/>
      <c r="Y119" s="552"/>
      <c r="Z119" s="552"/>
      <c r="AA119" s="552"/>
      <c r="AB119" s="552"/>
      <c r="AC119" s="553"/>
      <c r="AD119" s="537"/>
      <c r="AE119" s="181"/>
      <c r="AF119" s="187" t="str">
        <f>IF(Roster!$AO$19=0,"",Roster!$AO$19)</f>
        <v/>
      </c>
      <c r="AG119" s="450"/>
      <c r="AH119" s="551"/>
      <c r="AI119" s="552"/>
      <c r="AJ119" s="552"/>
      <c r="AK119" s="552"/>
      <c r="AL119" s="552"/>
      <c r="AM119" s="552"/>
      <c r="AN119" s="552"/>
      <c r="AO119" s="552"/>
      <c r="AP119" s="552"/>
      <c r="AQ119" s="552"/>
      <c r="AR119" s="553"/>
      <c r="AS119" s="537"/>
      <c r="AT119" s="181"/>
      <c r="AU119" s="187" t="str">
        <f>IF(Roster!$AO$20=0,"",Roster!$AO$20)</f>
        <v/>
      </c>
      <c r="AV119" s="450"/>
      <c r="AW119" s="551"/>
      <c r="AX119" s="552"/>
      <c r="AY119" s="552"/>
      <c r="AZ119" s="552"/>
      <c r="BA119" s="552"/>
      <c r="BB119" s="552"/>
      <c r="BC119" s="552"/>
      <c r="BD119" s="552"/>
      <c r="BE119" s="552"/>
      <c r="BF119" s="552"/>
      <c r="BG119" s="553"/>
      <c r="BH119" s="537"/>
      <c r="BI119" s="190"/>
    </row>
    <row r="120" spans="2:61" ht="4.5" customHeight="1" x14ac:dyDescent="0.2">
      <c r="B120" s="520"/>
      <c r="C120" s="330"/>
      <c r="D120" s="330"/>
      <c r="E120" s="330"/>
      <c r="F120" s="330"/>
      <c r="G120" s="330"/>
      <c r="H120" s="330"/>
      <c r="I120" s="330"/>
      <c r="J120" s="330"/>
      <c r="K120" s="330"/>
      <c r="L120" s="330"/>
      <c r="M120" s="330"/>
      <c r="N120" s="331"/>
      <c r="O120" s="189"/>
      <c r="Q120" s="534"/>
      <c r="R120" s="330"/>
      <c r="S120" s="330"/>
      <c r="T120" s="330"/>
      <c r="U120" s="330"/>
      <c r="V120" s="330"/>
      <c r="W120" s="330"/>
      <c r="X120" s="330"/>
      <c r="Y120" s="330"/>
      <c r="Z120" s="330"/>
      <c r="AA120" s="330"/>
      <c r="AB120" s="330"/>
      <c r="AC120" s="330"/>
      <c r="AD120" s="383"/>
      <c r="AE120" s="190"/>
      <c r="AF120" s="534"/>
      <c r="AG120" s="330"/>
      <c r="AH120" s="330"/>
      <c r="AI120" s="330"/>
      <c r="AJ120" s="330"/>
      <c r="AK120" s="330"/>
      <c r="AL120" s="330"/>
      <c r="AM120" s="330"/>
      <c r="AN120" s="330"/>
      <c r="AO120" s="330"/>
      <c r="AP120" s="330"/>
      <c r="AQ120" s="330"/>
      <c r="AR120" s="330"/>
      <c r="AS120" s="383"/>
      <c r="AT120" s="190"/>
      <c r="AU120" s="534"/>
      <c r="AV120" s="330"/>
      <c r="AW120" s="330"/>
      <c r="AX120" s="330"/>
      <c r="AY120" s="330"/>
      <c r="AZ120" s="330"/>
      <c r="BA120" s="330"/>
      <c r="BB120" s="330"/>
      <c r="BC120" s="330"/>
      <c r="BD120" s="330"/>
      <c r="BE120" s="330"/>
      <c r="BF120" s="330"/>
      <c r="BG120" s="330"/>
      <c r="BH120" s="383"/>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ABM</v>
      </c>
      <c r="E69" s="260" t="str">
        <f t="shared" si="1"/>
        <v/>
      </c>
      <c r="F69" s="260" t="str">
        <f>IF(F70=1,F71,"")</f>
        <v>AAA</v>
      </c>
      <c r="G69" s="260" t="str">
        <f>IF(G70=1,G71,"")</f>
        <v>ABL</v>
      </c>
      <c r="H69" s="260" t="str">
        <f t="shared" ref="H69:BN69" si="2">IF(H70=1,H71,"")</f>
        <v/>
      </c>
      <c r="I69" s="260" t="str">
        <f t="shared" si="2"/>
        <v>ACB</v>
      </c>
      <c r="J69" s="260" t="str">
        <f t="shared" si="2"/>
        <v/>
      </c>
      <c r="K69" s="260" t="str">
        <f t="shared" si="2"/>
        <v>ACC</v>
      </c>
      <c r="L69" s="260" t="str">
        <f t="shared" si="2"/>
        <v/>
      </c>
      <c r="M69" s="260" t="str">
        <f t="shared" si="2"/>
        <v>ACL</v>
      </c>
      <c r="N69" s="260" t="str">
        <f t="shared" si="2"/>
        <v>ACM</v>
      </c>
      <c r="O69" s="260" t="str">
        <f t="shared" si="2"/>
        <v/>
      </c>
      <c r="P69" s="260" t="str">
        <f t="shared" si="2"/>
        <v>AAB</v>
      </c>
      <c r="Q69" s="260" t="str">
        <f t="shared" si="2"/>
        <v/>
      </c>
      <c r="R69" s="260" t="str">
        <f t="shared" si="2"/>
        <v/>
      </c>
      <c r="S69" s="260" t="str">
        <f t="shared" si="2"/>
        <v/>
      </c>
      <c r="T69" s="260" t="str">
        <f t="shared" si="2"/>
        <v/>
      </c>
      <c r="U69" s="260" t="str">
        <f t="shared" si="2"/>
        <v/>
      </c>
      <c r="V69" s="260" t="str">
        <f t="shared" si="2"/>
        <v/>
      </c>
      <c r="W69" s="260" t="str">
        <f t="shared" si="2"/>
        <v/>
      </c>
      <c r="X69" s="260" t="str">
        <f t="shared" si="2"/>
        <v/>
      </c>
      <c r="Y69" s="260" t="str">
        <f t="shared" si="2"/>
        <v/>
      </c>
      <c r="Z69" s="260" t="str">
        <f t="shared" si="2"/>
        <v/>
      </c>
      <c r="AA69" s="260" t="str">
        <f t="shared" si="2"/>
        <v/>
      </c>
      <c r="AB69" s="260" t="str">
        <f t="shared" si="2"/>
        <v/>
      </c>
      <c r="AC69" s="260" t="str">
        <f t="shared" si="2"/>
        <v/>
      </c>
      <c r="AD69" s="260" t="str">
        <f t="shared" si="2"/>
        <v/>
      </c>
      <c r="AE69" s="260" t="str">
        <f t="shared" si="2"/>
        <v/>
      </c>
      <c r="AF69" s="260" t="str">
        <f t="shared" si="2"/>
        <v/>
      </c>
      <c r="AG69" s="260" t="str">
        <f t="shared" si="2"/>
        <v/>
      </c>
      <c r="AH69" s="260" t="str">
        <f t="shared" si="2"/>
        <v/>
      </c>
      <c r="AI69" s="260" t="str">
        <f t="shared" si="2"/>
        <v/>
      </c>
      <c r="AJ69" s="260" t="str">
        <f t="shared" si="2"/>
        <v/>
      </c>
      <c r="AK69" s="260" t="str">
        <f t="shared" si="2"/>
        <v/>
      </c>
      <c r="AL69" s="260" t="str">
        <f t="shared" si="2"/>
        <v/>
      </c>
      <c r="AM69" s="260" t="str">
        <f t="shared" si="2"/>
        <v/>
      </c>
      <c r="AN69" s="260" t="str">
        <f t="shared" si="2"/>
        <v>AAC</v>
      </c>
      <c r="AO69" s="260" t="str">
        <f t="shared" si="2"/>
        <v/>
      </c>
      <c r="AP69" s="260" t="str">
        <f t="shared" si="2"/>
        <v/>
      </c>
      <c r="AQ69" s="260" t="str">
        <f t="shared" si="2"/>
        <v/>
      </c>
      <c r="AR69" s="260" t="str">
        <f t="shared" si="2"/>
        <v/>
      </c>
      <c r="AS69" s="260" t="str">
        <f t="shared" si="2"/>
        <v/>
      </c>
      <c r="AT69" s="260" t="str">
        <f t="shared" si="2"/>
        <v/>
      </c>
      <c r="AU69" s="260" t="str">
        <f t="shared" si="2"/>
        <v>ACA</v>
      </c>
      <c r="AV69" s="260" t="str">
        <f t="shared" si="2"/>
        <v/>
      </c>
      <c r="AW69" s="260" t="str">
        <f t="shared" si="2"/>
        <v>AAD</v>
      </c>
      <c r="AX69" s="260" t="str">
        <f t="shared" si="2"/>
        <v>AAE</v>
      </c>
      <c r="AY69" s="260" t="str">
        <f t="shared" si="2"/>
        <v/>
      </c>
      <c r="AZ69" s="260" t="str">
        <f t="shared" si="2"/>
        <v/>
      </c>
      <c r="BA69" s="260" t="str">
        <f t="shared" si="2"/>
        <v/>
      </c>
      <c r="BB69" s="260" t="str">
        <f t="shared" si="2"/>
        <v/>
      </c>
      <c r="BC69" s="260" t="str">
        <f t="shared" si="2"/>
        <v/>
      </c>
      <c r="BD69" s="260" t="str">
        <f t="shared" si="2"/>
        <v/>
      </c>
      <c r="BE69" s="260" t="str">
        <f t="shared" si="2"/>
        <v>AAF</v>
      </c>
      <c r="BF69" s="260" t="str">
        <f t="shared" si="2"/>
        <v>ACK</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BadlandsBrawl</v>
      </c>
      <c r="C70" s="260">
        <f>VLOOKUP($B$70,$B$73:$BP$89,2,FALSE)</f>
        <v>0</v>
      </c>
      <c r="D70" s="260">
        <f>VLOOKUP($B$70,$B$73:$BP$89,3,FALSE)</f>
        <v>1</v>
      </c>
      <c r="E70" s="260">
        <f>VLOOKUP($B$70,$B$73:$BP$89,4,FALSE)</f>
        <v>0</v>
      </c>
      <c r="F70" s="260">
        <f>VLOOKUP($B$70,$B$73:$BP$89,5,FALSE)</f>
        <v>1</v>
      </c>
      <c r="G70" s="260">
        <f>VLOOKUP($B$70,$B$73:$BP$89,6,FALSE)</f>
        <v>1</v>
      </c>
      <c r="H70" s="260">
        <f>VLOOKUP($B$70,$B$73:$BP$89,7,FALSE)</f>
        <v>0</v>
      </c>
      <c r="I70" s="260">
        <f>VLOOKUP($B$70,$B$73:$BP$89,8,FALSE)</f>
        <v>1</v>
      </c>
      <c r="J70" s="260">
        <f>VLOOKUP($B$70,$B$73:$BP$89,9,FALSE)</f>
        <v>0</v>
      </c>
      <c r="K70" s="260">
        <f>VLOOKUP($B$70,$B$73:$BP$89,10,FALSE)</f>
        <v>1</v>
      </c>
      <c r="L70" s="260">
        <f>VLOOKUP($B$70,$B$73:$BP$89,11,FALSE)</f>
        <v>0</v>
      </c>
      <c r="M70" s="260">
        <f>VLOOKUP($B$70,$B$73:$BP$89,12,FALSE)</f>
        <v>1</v>
      </c>
      <c r="N70" s="260">
        <f>VLOOKUP($B$70,$B$73:$BP$89,13,FALSE)</f>
        <v>1</v>
      </c>
      <c r="O70" s="260">
        <f>VLOOKUP($B$70,$B$73:$BP$89,14,FALSE)</f>
        <v>0</v>
      </c>
      <c r="P70" s="260">
        <f>VLOOKUP($B$70,$B$73:$BP$89,15,FALSE)</f>
        <v>1</v>
      </c>
      <c r="Q70" s="260">
        <f>VLOOKUP($B$70,$B$73:$BP$89,16,FALSE)</f>
        <v>0</v>
      </c>
      <c r="R70" s="260">
        <f>VLOOKUP($B$70,$B$73:$BP$89,17,FALSE)</f>
        <v>0</v>
      </c>
      <c r="S70" s="260">
        <f>VLOOKUP($B$70,$B$73:$BP$89,18,FALSE)</f>
        <v>0</v>
      </c>
      <c r="T70" s="260">
        <f>VLOOKUP($B$70,$B$73:$BP$89,19,FALSE)</f>
        <v>0</v>
      </c>
      <c r="U70" s="260">
        <f>VLOOKUP($B$70,$B$73:$BP$89,20,FALSE)</f>
        <v>0</v>
      </c>
      <c r="V70" s="260">
        <f>VLOOKUP($B$70,$B$73:$BP$89,21,FALSE)</f>
        <v>0</v>
      </c>
      <c r="W70" s="260">
        <f>VLOOKUP($B$70,$B$73:$BP$89,22,FALSE)</f>
        <v>0</v>
      </c>
      <c r="X70" s="260">
        <f>VLOOKUP($B$70,$B$73:$BP$89,23,FALSE)</f>
        <v>0</v>
      </c>
      <c r="Y70" s="260">
        <f>VLOOKUP($B$70,$B$73:$BP$89,24,FALSE)</f>
        <v>0</v>
      </c>
      <c r="Z70" s="260">
        <f>VLOOKUP($B$70,$B$73:$BP$89,25,FALSE)</f>
        <v>0</v>
      </c>
      <c r="AA70" s="260">
        <f>VLOOKUP($B$70,$B$73:$BP$89,26,FALSE)</f>
        <v>0</v>
      </c>
      <c r="AB70" s="260">
        <f>VLOOKUP($B$70,$B$73:$BP$89,27,FALSE)</f>
        <v>0</v>
      </c>
      <c r="AC70" s="260">
        <f>VLOOKUP($B$70,$B$73:$BP$89,28,FALSE)</f>
        <v>0</v>
      </c>
      <c r="AD70" s="260">
        <f>VLOOKUP($B$70,$B$73:$BP$89,29,FALSE)</f>
        <v>0</v>
      </c>
      <c r="AE70" s="260">
        <f>VLOOKUP($B$70,$B$73:$BP$89,30,FALSE)</f>
        <v>0</v>
      </c>
      <c r="AF70" s="260">
        <f>VLOOKUP($B$70,$B$73:$BP$89,31,FALSE)</f>
        <v>0</v>
      </c>
      <c r="AG70" s="260">
        <f>VLOOKUP($B$70,$B$73:$BP$89,32,FALSE)</f>
        <v>0</v>
      </c>
      <c r="AH70" s="260">
        <f>VLOOKUP($B$70,$B$73:$BP$89,33,FALSE)</f>
        <v>0</v>
      </c>
      <c r="AI70" s="260">
        <f>VLOOKUP($B$70,$B$73:$BP$89,34,FALSE)</f>
        <v>0</v>
      </c>
      <c r="AJ70" s="260">
        <f>VLOOKUP($B$70,$B$73:$BP$89,35,FALSE)</f>
        <v>0</v>
      </c>
      <c r="AK70" s="260">
        <f>VLOOKUP($B$70,$B$73:$BP$89,36,FALSE)</f>
        <v>0</v>
      </c>
      <c r="AL70" s="260">
        <f>VLOOKUP($B$70,$B$73:$BP$89,37,FALSE)</f>
        <v>0</v>
      </c>
      <c r="AM70" s="260">
        <f>VLOOKUP($B$70,$B$73:$BP$89,38,FALSE)</f>
        <v>0</v>
      </c>
      <c r="AN70" s="260">
        <f>VLOOKUP($B$70,$B$73:$BP$89,39,FALSE)</f>
        <v>1</v>
      </c>
      <c r="AO70" s="260">
        <f>VLOOKUP($B$70,$B$73:$BP$89,40,FALSE)</f>
        <v>0</v>
      </c>
      <c r="AP70" s="260">
        <f>VLOOKUP($B$70,$B$73:$BP$89,41,FALSE)</f>
        <v>0</v>
      </c>
      <c r="AQ70" s="260">
        <f>VLOOKUP($B$70,$B$73:$BP$89,42,FALSE)</f>
        <v>0</v>
      </c>
      <c r="AR70" s="260">
        <f>VLOOKUP($B$70,$B$73:$BP$89,43,FALSE)</f>
        <v>0</v>
      </c>
      <c r="AS70" s="260">
        <f>VLOOKUP($B$70,$B$73:$BP$89,44,FALSE)</f>
        <v>0</v>
      </c>
      <c r="AT70" s="260">
        <f>VLOOKUP($B$70,$B$73:$BP$89,45,FALSE)</f>
        <v>0</v>
      </c>
      <c r="AU70" s="260">
        <f>VLOOKUP($B$70,$B$73:$BP$89,46,FALSE)</f>
        <v>1</v>
      </c>
      <c r="AV70" s="260">
        <f>VLOOKUP($B$70,$B$73:$BP$89,47,FALSE)</f>
        <v>0</v>
      </c>
      <c r="AW70" s="260">
        <f>VLOOKUP($B$70,$B$73:$BP$89,48,FALSE)</f>
        <v>1</v>
      </c>
      <c r="AX70" s="260">
        <f>VLOOKUP($B$70,$B$73:$BP$89,49,FALSE)</f>
        <v>1</v>
      </c>
      <c r="AY70" s="260">
        <f>VLOOKUP($B$70,$B$73:$BP$89,50,FALSE)</f>
        <v>0</v>
      </c>
      <c r="AZ70" s="260">
        <f>VLOOKUP($B$70,$B$73:$BP$89,51,FALSE)</f>
        <v>0</v>
      </c>
      <c r="BA70" s="260">
        <f>VLOOKUP($B$70,$B$73:$BP$89,52,FALSE)</f>
        <v>0</v>
      </c>
      <c r="BB70" s="260">
        <f>VLOOKUP($B$70,$B$73:$BP$89,53,FALSE)</f>
        <v>0</v>
      </c>
      <c r="BC70" s="260">
        <f>VLOOKUP($B$70,$B$73:$BP$89,54,FALSE)</f>
        <v>0</v>
      </c>
      <c r="BD70" s="260">
        <f>VLOOKUP($B$70,$B$73:$BP$89,55,FALSE)</f>
        <v>0</v>
      </c>
      <c r="BE70" s="260">
        <f>VLOOKUP($B$70,$B$73:$BP$89,56,FALSE)</f>
        <v>1</v>
      </c>
      <c r="BF70" s="260">
        <f>VLOOKUP($B$70,$B$73:$BP$89,57,FALSE)</f>
        <v>1</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ABMAAAABLACBACCACLACMAABAACACAAADAAEAAFACKAAGBBBCCCDDDEEE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ABM</v>
      </c>
      <c r="C92" s="197" t="str">
        <f>IFERROR((VLOOKUP(B92,$A$4:$B$67,2,FALSE))," ")</f>
        <v>Bomber Dribblesnot</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Bomber Dribblesnot</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ABL</v>
      </c>
      <c r="C94" s="197" t="str">
        <f t="shared" ref="C94:C130" si="5">IFERROR((VLOOKUP(B94,$A$4:$B$67,2,FALSE))," ")</f>
        <v>Fungus the Loon</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Fungus the Loon</v>
      </c>
      <c r="AA94" s="197"/>
      <c r="AB94" s="197"/>
      <c r="AC94" s="197"/>
      <c r="AD94" s="197"/>
      <c r="AE94" s="197"/>
      <c r="AF94" s="197"/>
      <c r="AG94" s="197"/>
      <c r="AH94" s="197"/>
    </row>
    <row r="95" spans="2:66" ht="12.75" customHeight="1" x14ac:dyDescent="0.2">
      <c r="B95" s="197" t="str">
        <f>MID($B$91,10,3)</f>
        <v>ACB</v>
      </c>
      <c r="C95" s="197" t="str">
        <f t="shared" si="5"/>
        <v>Nobbla Blackwart</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Nobbla Blackwart</v>
      </c>
      <c r="AA95" s="197"/>
      <c r="AB95" s="197"/>
      <c r="AC95" s="197"/>
      <c r="AD95" s="197"/>
      <c r="AE95" s="197"/>
      <c r="AF95" s="197"/>
      <c r="AG95" s="197"/>
      <c r="AH95" s="197"/>
    </row>
    <row r="96" spans="2:66" ht="12.75" customHeight="1" x14ac:dyDescent="0.2">
      <c r="B96" s="197" t="str">
        <f>MID($B$91,13,3)</f>
        <v>ACC</v>
      </c>
      <c r="C96" s="197" t="str">
        <f t="shared" si="5"/>
        <v>Scrappa Sorehead</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Scrappa Sorehead</v>
      </c>
      <c r="AA96" s="197"/>
      <c r="AB96" s="197"/>
      <c r="AC96" s="197"/>
      <c r="AD96" s="197"/>
      <c r="AE96" s="197"/>
      <c r="AF96" s="197"/>
      <c r="AG96" s="197"/>
      <c r="AH96" s="197"/>
    </row>
    <row r="97" spans="2:34" ht="12.75" customHeight="1" x14ac:dyDescent="0.2">
      <c r="B97" s="197" t="str">
        <f>MID($B$91,16,3)</f>
        <v>ACL</v>
      </c>
      <c r="C97" s="197" t="str">
        <f t="shared" si="5"/>
        <v>Rashnak Backstabber</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Rashnak Backstabber</v>
      </c>
      <c r="AA97" s="197"/>
      <c r="AB97" s="197"/>
      <c r="AC97" s="197"/>
      <c r="AD97" s="197"/>
      <c r="AE97" s="197"/>
      <c r="AF97" s="197"/>
      <c r="AG97" s="197"/>
      <c r="AH97" s="197"/>
    </row>
    <row r="98" spans="2:34" ht="12.75" customHeight="1" x14ac:dyDescent="0.2">
      <c r="B98" s="197" t="str">
        <f>MID($B$91,19,3)</f>
        <v>ACM</v>
      </c>
      <c r="C98" s="197" t="str">
        <f t="shared" si="5"/>
        <v>Zzharg Madeye</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Zzharg Madeye</v>
      </c>
      <c r="AA98" s="197"/>
      <c r="AB98" s="197"/>
      <c r="AC98" s="197"/>
      <c r="AD98" s="197"/>
      <c r="AE98" s="197"/>
      <c r="AF98" s="197"/>
      <c r="AG98" s="197"/>
      <c r="AH98" s="197"/>
    </row>
    <row r="99" spans="2:34" ht="12.75" customHeight="1" x14ac:dyDescent="0.2">
      <c r="B99" s="197" t="str">
        <f>MID($B$91,22,3)</f>
        <v>AAB</v>
      </c>
      <c r="C99" s="197" t="str">
        <f t="shared" si="5"/>
        <v>Helmut Wulf</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Helmut Wulf</v>
      </c>
      <c r="AA99" s="197"/>
      <c r="AB99" s="197"/>
      <c r="AC99" s="197"/>
      <c r="AD99" s="197"/>
      <c r="AE99" s="197"/>
      <c r="AF99" s="197"/>
      <c r="AG99" s="197"/>
      <c r="AH99" s="197"/>
    </row>
    <row r="100" spans="2:34" ht="12.75" customHeight="1" x14ac:dyDescent="0.2">
      <c r="B100" s="197" t="str">
        <f>MID($B$91,25,3)</f>
        <v>AAC</v>
      </c>
      <c r="C100" s="197" t="str">
        <f t="shared" si="5"/>
        <v>The Black Gobbo</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The Black Gobbo</v>
      </c>
      <c r="AA100" s="197"/>
      <c r="AB100" s="197"/>
      <c r="AC100" s="197"/>
      <c r="AD100" s="197"/>
      <c r="AE100" s="197"/>
      <c r="AF100" s="197"/>
      <c r="AG100" s="197"/>
      <c r="AH100" s="197"/>
    </row>
    <row r="101" spans="2:34" ht="12.75" customHeight="1" x14ac:dyDescent="0.2">
      <c r="B101" s="197" t="str">
        <f>MID($B$91,28,3)</f>
        <v>ACA</v>
      </c>
      <c r="C101" s="197" t="str">
        <f>IFERROR((VLOOKUP(B101,$A$4:$B$67,2,FALSE))," ")</f>
        <v>Ripper Bolgrot</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Ripper Bolgrot</v>
      </c>
      <c r="AA101" s="197"/>
      <c r="AB101" s="197"/>
      <c r="AC101" s="197"/>
      <c r="AD101" s="197"/>
      <c r="AE101" s="197"/>
      <c r="AF101" s="197"/>
      <c r="AG101" s="197"/>
      <c r="AH101" s="197"/>
    </row>
    <row r="102" spans="2:34" ht="12.75" customHeight="1" x14ac:dyDescent="0.2">
      <c r="B102" s="197" t="str">
        <f>MID($B$91,31,3)</f>
        <v>AAD</v>
      </c>
      <c r="C102" s="197" t="str">
        <f t="shared" si="5"/>
        <v>Grak</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Grak</v>
      </c>
      <c r="AA102" s="197"/>
      <c r="AB102" s="197"/>
      <c r="AC102" s="197"/>
      <c r="AD102" s="197"/>
      <c r="AE102" s="197"/>
      <c r="AF102" s="197"/>
      <c r="AG102" s="197"/>
      <c r="AH102" s="197"/>
    </row>
    <row r="103" spans="2:34" ht="12.75" customHeight="1" x14ac:dyDescent="0.2">
      <c r="B103" s="197" t="str">
        <f>MID($B$91,34,3)</f>
        <v>AAE</v>
      </c>
      <c r="C103" s="197" t="str">
        <f t="shared" si="5"/>
        <v>Crumbleberry</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Crumbleberry</v>
      </c>
      <c r="AA103" s="197"/>
      <c r="AB103" s="197"/>
      <c r="AC103" s="197"/>
      <c r="AD103" s="197"/>
      <c r="AE103" s="197"/>
      <c r="AF103" s="197"/>
      <c r="AG103" s="197"/>
      <c r="AH103" s="197"/>
    </row>
    <row r="104" spans="2:34" ht="12.75" customHeight="1" x14ac:dyDescent="0.2">
      <c r="B104" s="197" t="str">
        <f>MID($B$91,37,3)</f>
        <v>AAF</v>
      </c>
      <c r="C104" s="197" t="str">
        <f t="shared" si="5"/>
        <v>Varag Ghoul-Chewer</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Varag Ghoul-Chewer</v>
      </c>
      <c r="AA104" s="197"/>
      <c r="AB104" s="197"/>
      <c r="AC104" s="197"/>
      <c r="AD104" s="197"/>
      <c r="AE104" s="197"/>
      <c r="AF104" s="197"/>
      <c r="AG104" s="197"/>
      <c r="AH104" s="197"/>
    </row>
    <row r="105" spans="2:34" ht="12.75" customHeight="1" x14ac:dyDescent="0.2">
      <c r="B105" s="197" t="str">
        <f>MID($B$91,40,3)</f>
        <v>ACK</v>
      </c>
      <c r="C105" s="197" t="str">
        <f>IFERROR((VLOOKUP(B105,$A$4:$B$67,2,FALSE))," ")</f>
        <v>H'Thark the Unstoppable</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H'Thark the Unstoppable</v>
      </c>
      <c r="AA105" s="197"/>
      <c r="AB105" s="197"/>
      <c r="AC105" s="197"/>
      <c r="AD105" s="197"/>
      <c r="AE105" s="197"/>
      <c r="AF105" s="197"/>
      <c r="AG105" s="197"/>
      <c r="AH105" s="197"/>
    </row>
    <row r="106" spans="2:34" ht="12.75" customHeight="1" x14ac:dyDescent="0.2">
      <c r="B106" s="197" t="str">
        <f>MID($B$91,43,3)</f>
        <v>AAG</v>
      </c>
      <c r="C106" s="197" t="str">
        <f t="shared" si="5"/>
        <v>Morg 'n' Thorg</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Morg 'n' Thorg</v>
      </c>
      <c r="AA106" s="197"/>
      <c r="AB106" s="197"/>
      <c r="AC106" s="197"/>
      <c r="AD106" s="197"/>
      <c r="AE106" s="197"/>
      <c r="AF106" s="197"/>
      <c r="AG106" s="197"/>
      <c r="AH106" s="197"/>
    </row>
    <row r="107" spans="2:34" ht="12.75" customHeight="1" x14ac:dyDescent="0.2">
      <c r="B107" s="197" t="str">
        <f>MID($B$91,46,3)</f>
        <v>BBB</v>
      </c>
      <c r="C107" s="197" t="str">
        <f t="shared" si="5"/>
        <v>Giant</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Giant</v>
      </c>
      <c r="AA107" s="197"/>
      <c r="AB107" s="197"/>
      <c r="AC107" s="197"/>
      <c r="AD107" s="197"/>
      <c r="AE107" s="197"/>
      <c r="AF107" s="197"/>
      <c r="AG107" s="197"/>
      <c r="AH107" s="197"/>
    </row>
    <row r="108" spans="2:34" ht="12.75" customHeight="1" x14ac:dyDescent="0.2">
      <c r="B108" s="197" t="str">
        <f>MID($B$91,49,3)</f>
        <v>CCC</v>
      </c>
      <c r="C108" s="197" t="str">
        <f t="shared" si="5"/>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c>
      <c r="AA108" s="197"/>
      <c r="AB108" s="197"/>
      <c r="AC108" s="197"/>
      <c r="AD108" s="197"/>
      <c r="AE108" s="197"/>
      <c r="AF108" s="197"/>
      <c r="AG108" s="197"/>
      <c r="AH108" s="197"/>
    </row>
    <row r="109" spans="2:34" ht="12.75" customHeight="1" x14ac:dyDescent="0.2">
      <c r="B109" s="197" t="str">
        <f>MID($B$91,52,3)</f>
        <v>DDD</v>
      </c>
      <c r="C109" s="197" t="str">
        <f t="shared" si="5"/>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c>
      <c r="AA109" s="197"/>
      <c r="AB109" s="197"/>
      <c r="AC109" s="197"/>
      <c r="AD109" s="197"/>
      <c r="AE109" s="197"/>
      <c r="AF109" s="197"/>
      <c r="AG109" s="197"/>
      <c r="AH109" s="197"/>
    </row>
    <row r="110" spans="2:34" ht="12.75" customHeight="1" x14ac:dyDescent="0.2">
      <c r="B110" s="197" t="str">
        <f>MID($B$91,55,3)</f>
        <v>EEE</v>
      </c>
      <c r="C110" s="197" t="str">
        <f t="shared" si="5"/>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2025-03-31T11:01:28Z</dcterms:modified>
</cp:coreProperties>
</file>